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15480" windowHeight="9060" tabRatio="853"/>
  </bookViews>
  <sheets>
    <sheet name="Summary" sheetId="15" r:id="rId1"/>
    <sheet name="by-year" sheetId="17" r:id="rId2"/>
    <sheet name="$SqFt-by-year" sheetId="22" r:id="rId3"/>
    <sheet name="Listings-by-year" sheetId="23" r:id="rId4"/>
    <sheet name="Sales-by-Year" sheetId="24" r:id="rId5"/>
    <sheet name="Price-Listings-Chart" sheetId="12" r:id="rId6"/>
    <sheet name="Price-Chart" sheetId="19" r:id="rId7"/>
    <sheet name="Listings-Chart" sheetId="20" r:id="rId8"/>
    <sheet name="&lt;2wk-Chart" sheetId="13" r:id="rId9"/>
    <sheet name="Median $-SqFt" sheetId="3" r:id="rId10"/>
    <sheet name="Median Price" sheetId="1" r:id="rId11"/>
    <sheet name="Listings" sheetId="5" r:id="rId12"/>
    <sheet name="Sales Volume" sheetId="2" r:id="rId13"/>
    <sheet name="Pending Sales" sheetId="6" r:id="rId14"/>
    <sheet name="MOS" sheetId="10" r:id="rId15"/>
    <sheet name="New-Listings" sheetId="7" r:id="rId16"/>
    <sheet name="&lt;2wk%" sheetId="9" r:id="rId17"/>
    <sheet name="&lt;2wk" sheetId="8" state="hidden" r:id="rId18"/>
    <sheet name="Population" sheetId="11" state="hidden" r:id="rId19"/>
  </sheets>
  <calcPr calcId="145621"/>
</workbook>
</file>

<file path=xl/calcChain.xml><?xml version="1.0" encoding="utf-8"?>
<calcChain xmlns="http://schemas.openxmlformats.org/spreadsheetml/2006/main">
  <c r="N21" i="15" l="1"/>
  <c r="K21" i="15"/>
  <c r="H21" i="15"/>
  <c r="E21" i="15"/>
  <c r="B21" i="15"/>
  <c r="N20" i="15"/>
  <c r="K20" i="15"/>
  <c r="H20" i="15"/>
  <c r="E20" i="15"/>
  <c r="B20" i="15"/>
  <c r="N19" i="15"/>
  <c r="K19" i="15"/>
  <c r="H19" i="15"/>
  <c r="E19" i="15"/>
  <c r="B19" i="15"/>
  <c r="N18" i="15"/>
  <c r="K18" i="15"/>
  <c r="H18" i="15"/>
  <c r="E18" i="15"/>
  <c r="B18" i="15"/>
  <c r="N17" i="15"/>
  <c r="K17" i="15"/>
  <c r="H17" i="15"/>
  <c r="E17" i="15"/>
  <c r="B17" i="15"/>
  <c r="N16" i="15"/>
  <c r="K16" i="15"/>
  <c r="H16" i="15"/>
  <c r="E16" i="15"/>
  <c r="B16" i="15"/>
  <c r="N15" i="15"/>
  <c r="K15" i="15"/>
  <c r="H15" i="15"/>
  <c r="E15" i="15"/>
  <c r="B15" i="15"/>
  <c r="N14" i="15"/>
  <c r="K14" i="15"/>
  <c r="H14" i="15"/>
  <c r="E14" i="15"/>
  <c r="B14" i="15"/>
  <c r="N13" i="15"/>
  <c r="H13" i="15"/>
  <c r="E13" i="15"/>
  <c r="B13" i="15"/>
  <c r="N12" i="15"/>
  <c r="K12" i="15"/>
  <c r="H12" i="15"/>
  <c r="E12" i="15"/>
  <c r="B12" i="15"/>
  <c r="N11" i="15"/>
  <c r="K11" i="15"/>
  <c r="H11" i="15"/>
  <c r="E11" i="15"/>
  <c r="B11" i="15"/>
  <c r="N10" i="15"/>
  <c r="K10" i="15"/>
  <c r="H10" i="15"/>
  <c r="E10" i="15"/>
  <c r="B10" i="15"/>
  <c r="N9" i="15"/>
  <c r="K9" i="15"/>
  <c r="H9" i="15"/>
  <c r="E9" i="15"/>
  <c r="B9" i="15"/>
  <c r="N8" i="15"/>
  <c r="K8" i="15"/>
  <c r="H8" i="15"/>
  <c r="E8" i="15"/>
  <c r="B8" i="15"/>
  <c r="N7" i="15"/>
  <c r="K7" i="15"/>
  <c r="H7" i="15"/>
  <c r="E7" i="15"/>
  <c r="B7" i="15"/>
  <c r="N6" i="15"/>
  <c r="K6" i="15"/>
  <c r="H6" i="15"/>
  <c r="E6" i="15"/>
  <c r="B6" i="15"/>
  <c r="N5" i="15"/>
  <c r="K5" i="15"/>
  <c r="H5" i="15"/>
  <c r="E5" i="15"/>
  <c r="B5" i="15"/>
  <c r="N4" i="15"/>
  <c r="K4" i="15"/>
  <c r="H4" i="15"/>
  <c r="E4" i="15"/>
  <c r="B4" i="15"/>
  <c r="N3" i="15"/>
  <c r="K3" i="15"/>
  <c r="H3" i="15"/>
  <c r="E3" i="15"/>
  <c r="B3" i="15"/>
  <c r="N2" i="15"/>
  <c r="K2" i="15"/>
  <c r="H2" i="15"/>
  <c r="E2" i="15"/>
  <c r="B2" i="15"/>
  <c r="W42" i="6"/>
  <c r="X42" i="6" s="1"/>
  <c r="C43" i="8" l="1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B42" i="8"/>
  <c r="B43" i="8" s="1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O43" i="10"/>
  <c r="C42" i="10"/>
  <c r="C43" i="10" s="1"/>
  <c r="D42" i="10"/>
  <c r="D43" i="10" s="1"/>
  <c r="E42" i="10"/>
  <c r="E43" i="10" s="1"/>
  <c r="F42" i="10"/>
  <c r="F43" i="10" s="1"/>
  <c r="G42" i="10"/>
  <c r="G43" i="10" s="1"/>
  <c r="H42" i="10"/>
  <c r="H43" i="10" s="1"/>
  <c r="I42" i="10"/>
  <c r="I43" i="10" s="1"/>
  <c r="J42" i="10"/>
  <c r="J43" i="10" s="1"/>
  <c r="K42" i="10"/>
  <c r="K43" i="10" s="1"/>
  <c r="L42" i="10"/>
  <c r="L43" i="10" s="1"/>
  <c r="M42" i="10"/>
  <c r="M43" i="10" s="1"/>
  <c r="N42" i="10"/>
  <c r="N43" i="10" s="1"/>
  <c r="O42" i="10"/>
  <c r="P42" i="10"/>
  <c r="P43" i="10" s="1"/>
  <c r="Q42" i="10"/>
  <c r="Q43" i="10" s="1"/>
  <c r="R42" i="10"/>
  <c r="R43" i="10" s="1"/>
  <c r="S42" i="10"/>
  <c r="S43" i="10" s="1"/>
  <c r="T42" i="10"/>
  <c r="T43" i="10" s="1"/>
  <c r="U42" i="10"/>
  <c r="U43" i="10" s="1"/>
  <c r="C43" i="6"/>
  <c r="D43" i="6"/>
  <c r="E43" i="6"/>
  <c r="F43" i="6"/>
  <c r="G43" i="6"/>
  <c r="H43" i="6"/>
  <c r="I43" i="6"/>
  <c r="J43" i="6"/>
  <c r="K43" i="6"/>
  <c r="L43" i="6"/>
  <c r="M43" i="6"/>
  <c r="O43" i="6"/>
  <c r="P43" i="6"/>
  <c r="Q43" i="6"/>
  <c r="R43" i="6"/>
  <c r="S43" i="6"/>
  <c r="T43" i="6"/>
  <c r="U43" i="6"/>
  <c r="C44" i="6"/>
  <c r="D44" i="6"/>
  <c r="E44" i="6"/>
  <c r="F44" i="6"/>
  <c r="G44" i="6"/>
  <c r="H44" i="6"/>
  <c r="I44" i="6"/>
  <c r="J44" i="6"/>
  <c r="K44" i="6"/>
  <c r="L44" i="6"/>
  <c r="M44" i="6"/>
  <c r="O44" i="6"/>
  <c r="P44" i="6"/>
  <c r="Q44" i="6"/>
  <c r="R44" i="6"/>
  <c r="S44" i="6"/>
  <c r="T44" i="6"/>
  <c r="U44" i="6"/>
  <c r="B42" i="6"/>
  <c r="B43" i="6" s="1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B42" i="2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C42" i="1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C42" i="3"/>
  <c r="E6" i="17" s="1"/>
  <c r="C43" i="1" l="1"/>
  <c r="C43" i="3"/>
  <c r="B43" i="2"/>
  <c r="Q6" i="17"/>
  <c r="S43" i="9"/>
  <c r="B42" i="7"/>
  <c r="B42" i="9" s="1"/>
  <c r="C43" i="5" l="1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B42" i="5" l="1"/>
  <c r="K6" i="17" l="1"/>
  <c r="B42" i="10"/>
  <c r="B43" i="10" s="1"/>
  <c r="B43" i="5"/>
  <c r="W41" i="2" l="1"/>
  <c r="W41" i="6"/>
  <c r="B41" i="8" l="1"/>
  <c r="B44" i="8" s="1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S44" i="9" s="1"/>
  <c r="T41" i="9"/>
  <c r="U41" i="9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T43" i="7"/>
  <c r="U43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B41" i="7"/>
  <c r="C41" i="10"/>
  <c r="C44" i="10" s="1"/>
  <c r="D41" i="10"/>
  <c r="D44" i="10" s="1"/>
  <c r="E41" i="10"/>
  <c r="E44" i="10" s="1"/>
  <c r="F41" i="10"/>
  <c r="F44" i="10" s="1"/>
  <c r="G41" i="10"/>
  <c r="G44" i="10" s="1"/>
  <c r="H41" i="10"/>
  <c r="H44" i="10" s="1"/>
  <c r="I41" i="10"/>
  <c r="I44" i="10" s="1"/>
  <c r="J41" i="10"/>
  <c r="J44" i="10" s="1"/>
  <c r="K41" i="10"/>
  <c r="K44" i="10" s="1"/>
  <c r="L41" i="10"/>
  <c r="L44" i="10" s="1"/>
  <c r="M41" i="10"/>
  <c r="M44" i="10" s="1"/>
  <c r="N41" i="10"/>
  <c r="N44" i="10" s="1"/>
  <c r="O41" i="10"/>
  <c r="O44" i="10" s="1"/>
  <c r="P41" i="10"/>
  <c r="P44" i="10" s="1"/>
  <c r="Q41" i="10"/>
  <c r="Q44" i="10" s="1"/>
  <c r="R41" i="10"/>
  <c r="R44" i="10" s="1"/>
  <c r="S41" i="10"/>
  <c r="S44" i="10" s="1"/>
  <c r="T41" i="10"/>
  <c r="T44" i="10" s="1"/>
  <c r="U41" i="10"/>
  <c r="U44" i="10" s="1"/>
  <c r="B41" i="6"/>
  <c r="B41" i="2"/>
  <c r="B41" i="5"/>
  <c r="B44" i="5" s="1"/>
  <c r="C41" i="1"/>
  <c r="C44" i="1" s="1"/>
  <c r="C41" i="3"/>
  <c r="C44" i="3" s="1"/>
  <c r="B44" i="6" l="1"/>
  <c r="B44" i="2"/>
  <c r="R44" i="9"/>
  <c r="N44" i="9"/>
  <c r="J44" i="9"/>
  <c r="F44" i="9"/>
  <c r="Q44" i="9"/>
  <c r="I44" i="9"/>
  <c r="T44" i="9"/>
  <c r="P44" i="9"/>
  <c r="L44" i="9"/>
  <c r="H44" i="9"/>
  <c r="D44" i="9"/>
  <c r="U44" i="9"/>
  <c r="M44" i="9"/>
  <c r="E44" i="9"/>
  <c r="O44" i="9"/>
  <c r="K44" i="9"/>
  <c r="G44" i="9"/>
  <c r="C44" i="9"/>
  <c r="E5" i="17"/>
  <c r="K5" i="17"/>
  <c r="B41" i="9"/>
  <c r="B41" i="10"/>
  <c r="B44" i="10" s="1"/>
  <c r="Q5" i="17"/>
  <c r="L18" i="15"/>
  <c r="W35" i="2"/>
  <c r="W36" i="2"/>
  <c r="W37" i="2"/>
  <c r="W38" i="2"/>
  <c r="W39" i="2"/>
  <c r="W40" i="2"/>
  <c r="W38" i="6"/>
  <c r="W39" i="6"/>
  <c r="W40" i="6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B40" i="8"/>
  <c r="B40" i="7"/>
  <c r="B44" i="7" s="1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L9" i="15"/>
  <c r="B40" i="6"/>
  <c r="B40" i="2"/>
  <c r="B40" i="5"/>
  <c r="K4" i="17" s="1"/>
  <c r="C40" i="1"/>
  <c r="C40" i="3"/>
  <c r="E4" i="17" s="1"/>
  <c r="B44" i="9" l="1"/>
  <c r="B40" i="9"/>
  <c r="Q4" i="17"/>
  <c r="B40" i="10"/>
  <c r="B39" i="8" l="1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B39" i="7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B39" i="6"/>
  <c r="B39" i="2"/>
  <c r="C39" i="1"/>
  <c r="C39" i="3"/>
  <c r="B39" i="5"/>
  <c r="Q3" i="17" l="1"/>
  <c r="B39" i="9"/>
  <c r="K3" i="17"/>
  <c r="B39" i="10"/>
  <c r="E3" i="17"/>
  <c r="B38" i="8" l="1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B38" i="7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B38" i="6"/>
  <c r="B38" i="2"/>
  <c r="B38" i="5"/>
  <c r="C38" i="1"/>
  <c r="C38" i="3"/>
  <c r="B38" i="9" l="1"/>
  <c r="Q2" i="17"/>
  <c r="E2" i="17"/>
  <c r="K2" i="17"/>
  <c r="B38" i="10"/>
  <c r="W36" i="6" l="1"/>
  <c r="W37" i="6"/>
  <c r="B37" i="8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B37" i="7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B37" i="6"/>
  <c r="B37" i="2"/>
  <c r="B37" i="5"/>
  <c r="C37" i="1"/>
  <c r="C37" i="3"/>
  <c r="B37" i="9" l="1"/>
  <c r="P13" i="17"/>
  <c r="J13" i="17"/>
  <c r="D13" i="17"/>
  <c r="B37" i="10"/>
  <c r="B36" i="8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B36" i="7"/>
  <c r="B36" i="9" l="1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B36" i="6"/>
  <c r="B36" i="2"/>
  <c r="B36" i="5"/>
  <c r="C36" i="1"/>
  <c r="C36" i="3"/>
  <c r="P12" i="17" l="1"/>
  <c r="J12" i="17"/>
  <c r="D12" i="17"/>
  <c r="B36" i="10"/>
  <c r="W35" i="6"/>
  <c r="B35" i="8" l="1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B35" i="7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M2" i="15"/>
  <c r="M3" i="15"/>
  <c r="M4" i="15"/>
  <c r="M5" i="15"/>
  <c r="M6" i="15"/>
  <c r="M7" i="15"/>
  <c r="M8" i="15"/>
  <c r="M9" i="15"/>
  <c r="M10" i="15"/>
  <c r="M11" i="15"/>
  <c r="M12" i="15"/>
  <c r="M14" i="15"/>
  <c r="M15" i="15"/>
  <c r="M16" i="15"/>
  <c r="M17" i="15"/>
  <c r="M18" i="15"/>
  <c r="M19" i="15"/>
  <c r="M20" i="15"/>
  <c r="B35" i="6"/>
  <c r="J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B35" i="2"/>
  <c r="G2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B35" i="5"/>
  <c r="C35" i="1"/>
  <c r="D2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C35" i="3"/>
  <c r="D11" i="17" l="1"/>
  <c r="B35" i="9"/>
  <c r="J11" i="17"/>
  <c r="P11" i="17"/>
  <c r="B35" i="10"/>
  <c r="W32" i="2"/>
  <c r="W33" i="2"/>
  <c r="W34" i="2"/>
  <c r="W32" i="6"/>
  <c r="W33" i="6"/>
  <c r="W34" i="6"/>
  <c r="B34" i="8" l="1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B34" i="7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B34" i="6"/>
  <c r="M21" i="15" s="1"/>
  <c r="B34" i="2"/>
  <c r="J21" i="15" s="1"/>
  <c r="B34" i="5"/>
  <c r="G21" i="15" s="1"/>
  <c r="C34" i="1"/>
  <c r="C34" i="3"/>
  <c r="D21" i="15" s="1"/>
  <c r="P10" i="17" l="1"/>
  <c r="J10" i="17"/>
  <c r="D10" i="17"/>
  <c r="B34" i="9"/>
  <c r="B34" i="10"/>
  <c r="B33" i="8" l="1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B33" i="7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B33" i="5"/>
  <c r="B33" i="6"/>
  <c r="B33" i="2"/>
  <c r="C33" i="1"/>
  <c r="P9" i="17" l="1"/>
  <c r="J9" i="17"/>
  <c r="B33" i="9"/>
  <c r="B33" i="10"/>
  <c r="C33" i="3" l="1"/>
  <c r="D9" i="17" l="1"/>
  <c r="L20" i="15"/>
  <c r="L19" i="15"/>
  <c r="L17" i="15"/>
  <c r="L16" i="15"/>
  <c r="L15" i="15"/>
  <c r="L14" i="15"/>
  <c r="L12" i="15"/>
  <c r="L11" i="15"/>
  <c r="L10" i="15"/>
  <c r="L8" i="15"/>
  <c r="L7" i="15"/>
  <c r="L6" i="15"/>
  <c r="L5" i="15"/>
  <c r="L4" i="15"/>
  <c r="L3" i="15"/>
  <c r="L2" i="15"/>
  <c r="S31" i="9"/>
  <c r="Q2" i="15"/>
  <c r="Q3" i="15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AE20" i="15"/>
  <c r="W20" i="15"/>
  <c r="R20" i="15"/>
  <c r="AE19" i="15"/>
  <c r="W19" i="15"/>
  <c r="R19" i="15"/>
  <c r="AE18" i="15"/>
  <c r="W18" i="15"/>
  <c r="R18" i="15"/>
  <c r="AE17" i="15"/>
  <c r="W17" i="15"/>
  <c r="R17" i="15"/>
  <c r="AE16" i="15"/>
  <c r="W16" i="15"/>
  <c r="R16" i="15"/>
  <c r="AE15" i="15"/>
  <c r="W15" i="15"/>
  <c r="R15" i="15"/>
  <c r="AE14" i="15"/>
  <c r="W14" i="15"/>
  <c r="R14" i="15"/>
  <c r="AE13" i="15"/>
  <c r="W13" i="15"/>
  <c r="R13" i="15"/>
  <c r="AE12" i="15"/>
  <c r="W12" i="15"/>
  <c r="R12" i="15"/>
  <c r="AE11" i="15"/>
  <c r="W11" i="15"/>
  <c r="R11" i="15"/>
  <c r="AE10" i="15"/>
  <c r="W10" i="15"/>
  <c r="R10" i="15"/>
  <c r="AE9" i="15"/>
  <c r="W9" i="15"/>
  <c r="R9" i="15"/>
  <c r="AE8" i="15"/>
  <c r="W8" i="15"/>
  <c r="R8" i="15"/>
  <c r="AE7" i="15"/>
  <c r="W7" i="15"/>
  <c r="R7" i="15"/>
  <c r="AE6" i="15"/>
  <c r="W6" i="15"/>
  <c r="R6" i="15"/>
  <c r="AE5" i="15"/>
  <c r="W5" i="15"/>
  <c r="R5" i="15"/>
  <c r="AE4" i="15"/>
  <c r="W4" i="15"/>
  <c r="R4" i="15"/>
  <c r="AE3" i="15"/>
  <c r="W3" i="15"/>
  <c r="R3" i="15"/>
  <c r="AE2" i="15"/>
  <c r="W2" i="15"/>
  <c r="R2" i="15"/>
  <c r="B32" i="8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B32" i="7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B32" i="5"/>
  <c r="B32" i="6"/>
  <c r="B32" i="2"/>
  <c r="C32" i="1"/>
  <c r="C32" i="3"/>
  <c r="D8" i="17" l="1"/>
  <c r="AB15" i="15"/>
  <c r="AB11" i="15"/>
  <c r="AB7" i="15"/>
  <c r="AB3" i="15"/>
  <c r="AB10" i="15"/>
  <c r="AB2" i="15"/>
  <c r="AB19" i="15"/>
  <c r="AB20" i="15"/>
  <c r="AB16" i="15"/>
  <c r="AB12" i="15"/>
  <c r="AB8" i="15"/>
  <c r="AB4" i="15"/>
  <c r="AB5" i="15"/>
  <c r="AB6" i="15"/>
  <c r="AB9" i="15"/>
  <c r="AB13" i="15"/>
  <c r="AB14" i="15"/>
  <c r="AB17" i="15"/>
  <c r="P8" i="17"/>
  <c r="W21" i="15"/>
  <c r="J8" i="17"/>
  <c r="AE21" i="15"/>
  <c r="R21" i="15"/>
  <c r="B32" i="10"/>
  <c r="AB18" i="15"/>
  <c r="B32" i="9"/>
  <c r="W15" i="2"/>
  <c r="W16" i="2"/>
  <c r="W17" i="2"/>
  <c r="W18" i="2"/>
  <c r="W19" i="2"/>
  <c r="W20" i="2"/>
  <c r="X32" i="2" s="1"/>
  <c r="W21" i="2"/>
  <c r="X33" i="2" s="1"/>
  <c r="W22" i="2"/>
  <c r="X34" i="2" s="1"/>
  <c r="W23" i="2"/>
  <c r="X35" i="2" s="1"/>
  <c r="W24" i="2"/>
  <c r="X36" i="2" s="1"/>
  <c r="W25" i="2"/>
  <c r="X37" i="2" s="1"/>
  <c r="W26" i="2"/>
  <c r="X38" i="2" s="1"/>
  <c r="W27" i="2"/>
  <c r="W28" i="2"/>
  <c r="X40" i="2" s="1"/>
  <c r="W29" i="2"/>
  <c r="X41" i="2" s="1"/>
  <c r="W30" i="2"/>
  <c r="W31" i="2"/>
  <c r="W14" i="2"/>
  <c r="W15" i="6"/>
  <c r="W16" i="6"/>
  <c r="W17" i="6"/>
  <c r="W18" i="6"/>
  <c r="W19" i="6"/>
  <c r="W20" i="6"/>
  <c r="X32" i="6" s="1"/>
  <c r="W21" i="6"/>
  <c r="X33" i="6" s="1"/>
  <c r="W22" i="6"/>
  <c r="X34" i="6" s="1"/>
  <c r="W23" i="6"/>
  <c r="X35" i="6" s="1"/>
  <c r="W24" i="6"/>
  <c r="X36" i="6" s="1"/>
  <c r="W25" i="6"/>
  <c r="X37" i="6" s="1"/>
  <c r="W26" i="6"/>
  <c r="X38" i="6" s="1"/>
  <c r="W27" i="6"/>
  <c r="X39" i="6" s="1"/>
  <c r="W28" i="6"/>
  <c r="X40" i="6" s="1"/>
  <c r="W29" i="6"/>
  <c r="X41" i="6" s="1"/>
  <c r="W30" i="6"/>
  <c r="X30" i="6" s="1"/>
  <c r="W31" i="6"/>
  <c r="X31" i="6" s="1"/>
  <c r="W14" i="6"/>
  <c r="X27" i="2" l="1"/>
  <c r="X39" i="2"/>
  <c r="X29" i="6"/>
  <c r="X27" i="6"/>
  <c r="X28" i="6"/>
  <c r="X26" i="6"/>
  <c r="X31" i="2"/>
  <c r="X30" i="2"/>
  <c r="X29" i="2"/>
  <c r="X28" i="2"/>
  <c r="AB21" i="15"/>
  <c r="X26" i="2"/>
  <c r="AG20" i="15"/>
  <c r="I20" i="15"/>
  <c r="AF20" i="15" s="1"/>
  <c r="AG19" i="15"/>
  <c r="I19" i="15"/>
  <c r="AF19" i="15" s="1"/>
  <c r="AG18" i="15"/>
  <c r="I18" i="15"/>
  <c r="AF18" i="15" s="1"/>
  <c r="AG17" i="15"/>
  <c r="I17" i="15"/>
  <c r="AF17" i="15" s="1"/>
  <c r="AG16" i="15"/>
  <c r="I16" i="15"/>
  <c r="AF16" i="15" s="1"/>
  <c r="AG15" i="15"/>
  <c r="I15" i="15"/>
  <c r="AF15" i="15" s="1"/>
  <c r="AG14" i="15"/>
  <c r="I14" i="15"/>
  <c r="AF14" i="15" s="1"/>
  <c r="AG13" i="15"/>
  <c r="I13" i="15"/>
  <c r="AF13" i="15" s="1"/>
  <c r="AG12" i="15"/>
  <c r="I12" i="15"/>
  <c r="AF12" i="15" s="1"/>
  <c r="AG11" i="15"/>
  <c r="I11" i="15"/>
  <c r="AF11" i="15" s="1"/>
  <c r="AG10" i="15"/>
  <c r="I10" i="15"/>
  <c r="AF10" i="15" s="1"/>
  <c r="AG9" i="15"/>
  <c r="I9" i="15"/>
  <c r="AF9" i="15" s="1"/>
  <c r="AG8" i="15"/>
  <c r="I8" i="15"/>
  <c r="AF8" i="15" s="1"/>
  <c r="AG7" i="15"/>
  <c r="I7" i="15"/>
  <c r="AF7" i="15" s="1"/>
  <c r="AG6" i="15"/>
  <c r="I6" i="15"/>
  <c r="AF6" i="15" s="1"/>
  <c r="AG5" i="15"/>
  <c r="I5" i="15"/>
  <c r="AF5" i="15" s="1"/>
  <c r="AG4" i="15"/>
  <c r="I4" i="15"/>
  <c r="AF4" i="15" s="1"/>
  <c r="AG3" i="15"/>
  <c r="I3" i="15"/>
  <c r="AF3" i="15" s="1"/>
  <c r="AG2" i="15"/>
  <c r="I2" i="15"/>
  <c r="AF2" i="15" s="1"/>
  <c r="Y20" i="15"/>
  <c r="F20" i="15"/>
  <c r="X20" i="15" s="1"/>
  <c r="Y19" i="15"/>
  <c r="F19" i="15"/>
  <c r="X19" i="15" s="1"/>
  <c r="Y18" i="15"/>
  <c r="F18" i="15"/>
  <c r="X18" i="15" s="1"/>
  <c r="Y17" i="15"/>
  <c r="F17" i="15"/>
  <c r="X17" i="15" s="1"/>
  <c r="Y16" i="15"/>
  <c r="F16" i="15"/>
  <c r="X16" i="15" s="1"/>
  <c r="Y15" i="15"/>
  <c r="F15" i="15"/>
  <c r="X15" i="15" s="1"/>
  <c r="Y14" i="15"/>
  <c r="F14" i="15"/>
  <c r="X14" i="15" s="1"/>
  <c r="Y13" i="15"/>
  <c r="F13" i="15"/>
  <c r="X13" i="15" s="1"/>
  <c r="Y12" i="15"/>
  <c r="F12" i="15"/>
  <c r="X12" i="15" s="1"/>
  <c r="Y11" i="15"/>
  <c r="F11" i="15"/>
  <c r="X11" i="15" s="1"/>
  <c r="Y10" i="15"/>
  <c r="F10" i="15"/>
  <c r="X10" i="15" s="1"/>
  <c r="Y9" i="15"/>
  <c r="F9" i="15"/>
  <c r="X9" i="15" s="1"/>
  <c r="Y8" i="15"/>
  <c r="F8" i="15"/>
  <c r="X8" i="15" s="1"/>
  <c r="Y7" i="15"/>
  <c r="F7" i="15"/>
  <c r="X7" i="15" s="1"/>
  <c r="Y6" i="15"/>
  <c r="F6" i="15"/>
  <c r="X6" i="15" s="1"/>
  <c r="Y5" i="15"/>
  <c r="F5" i="15"/>
  <c r="X5" i="15" s="1"/>
  <c r="Y4" i="15"/>
  <c r="F4" i="15"/>
  <c r="X4" i="15" s="1"/>
  <c r="Y3" i="15"/>
  <c r="F3" i="15"/>
  <c r="X3" i="15" s="1"/>
  <c r="Y2" i="15"/>
  <c r="F2" i="15"/>
  <c r="X2" i="15" s="1"/>
  <c r="T20" i="15"/>
  <c r="C20" i="15"/>
  <c r="S20" i="15" s="1"/>
  <c r="T19" i="15"/>
  <c r="C19" i="15"/>
  <c r="S19" i="15" s="1"/>
  <c r="T18" i="15"/>
  <c r="C18" i="15"/>
  <c r="S18" i="15" s="1"/>
  <c r="T17" i="15"/>
  <c r="C17" i="15"/>
  <c r="S17" i="15" s="1"/>
  <c r="T16" i="15"/>
  <c r="C16" i="15"/>
  <c r="S16" i="15" s="1"/>
  <c r="T15" i="15"/>
  <c r="C15" i="15"/>
  <c r="S15" i="15" s="1"/>
  <c r="T14" i="15"/>
  <c r="C14" i="15"/>
  <c r="S14" i="15" s="1"/>
  <c r="T13" i="15"/>
  <c r="C13" i="15"/>
  <c r="S13" i="15" s="1"/>
  <c r="T12" i="15"/>
  <c r="C12" i="15"/>
  <c r="S12" i="15" s="1"/>
  <c r="T11" i="15"/>
  <c r="C11" i="15"/>
  <c r="S11" i="15" s="1"/>
  <c r="T10" i="15"/>
  <c r="C10" i="15"/>
  <c r="S10" i="15" s="1"/>
  <c r="T9" i="15"/>
  <c r="C9" i="15"/>
  <c r="S9" i="15" s="1"/>
  <c r="T8" i="15"/>
  <c r="C8" i="15"/>
  <c r="S8" i="15" s="1"/>
  <c r="T7" i="15"/>
  <c r="C7" i="15"/>
  <c r="S7" i="15" s="1"/>
  <c r="T6" i="15"/>
  <c r="C6" i="15"/>
  <c r="S6" i="15" s="1"/>
  <c r="T5" i="15"/>
  <c r="C5" i="15"/>
  <c r="S5" i="15" s="1"/>
  <c r="T4" i="15"/>
  <c r="C4" i="15"/>
  <c r="S4" i="15" s="1"/>
  <c r="T3" i="15"/>
  <c r="C3" i="15"/>
  <c r="S3" i="15" s="1"/>
  <c r="T2" i="15"/>
  <c r="C2" i="15"/>
  <c r="S2" i="15" s="1"/>
  <c r="B31" i="8" l="1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T31" i="9"/>
  <c r="U31" i="9"/>
  <c r="B31" i="7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B31" i="5"/>
  <c r="B31" i="6"/>
  <c r="C31" i="1"/>
  <c r="C31" i="3"/>
  <c r="B31" i="2"/>
  <c r="J7" i="17" l="1"/>
  <c r="P7" i="17"/>
  <c r="D7" i="17"/>
  <c r="T21" i="15"/>
  <c r="B31" i="9"/>
  <c r="B31" i="10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" i="5"/>
  <c r="H3" i="17" s="1"/>
  <c r="B4" i="5"/>
  <c r="H4" i="17" s="1"/>
  <c r="B5" i="5"/>
  <c r="H5" i="17" s="1"/>
  <c r="B6" i="5"/>
  <c r="H6" i="17" s="1"/>
  <c r="B7" i="5"/>
  <c r="H7" i="17" s="1"/>
  <c r="B8" i="5"/>
  <c r="H8" i="17" s="1"/>
  <c r="B9" i="5"/>
  <c r="H9" i="17" s="1"/>
  <c r="B10" i="5"/>
  <c r="H10" i="17" s="1"/>
  <c r="B11" i="5"/>
  <c r="H11" i="17" s="1"/>
  <c r="B12" i="5"/>
  <c r="H12" i="17" s="1"/>
  <c r="B13" i="5"/>
  <c r="H13" i="17" s="1"/>
  <c r="B14" i="5"/>
  <c r="I2" i="17" s="1"/>
  <c r="B15" i="5"/>
  <c r="I3" i="17" s="1"/>
  <c r="B16" i="5"/>
  <c r="I4" i="17" s="1"/>
  <c r="B17" i="5"/>
  <c r="I5" i="17" s="1"/>
  <c r="B18" i="5"/>
  <c r="I6" i="17" s="1"/>
  <c r="B19" i="5"/>
  <c r="I7" i="17" s="1"/>
  <c r="B20" i="5"/>
  <c r="B21" i="5"/>
  <c r="B22" i="5"/>
  <c r="B23" i="5"/>
  <c r="B24" i="5"/>
  <c r="B25" i="5"/>
  <c r="B26" i="5"/>
  <c r="B27" i="5"/>
  <c r="B28" i="5"/>
  <c r="B29" i="5"/>
  <c r="B30" i="5"/>
  <c r="B2" i="5"/>
  <c r="H2" i="17" s="1"/>
  <c r="C2" i="3"/>
  <c r="B2" i="17" s="1"/>
  <c r="C3" i="3"/>
  <c r="B3" i="17" s="1"/>
  <c r="C4" i="3"/>
  <c r="B4" i="17" s="1"/>
  <c r="C5" i="3"/>
  <c r="B5" i="17" s="1"/>
  <c r="C6" i="3"/>
  <c r="B6" i="17" s="1"/>
  <c r="C7" i="3"/>
  <c r="B7" i="17" s="1"/>
  <c r="C8" i="3"/>
  <c r="B8" i="17" s="1"/>
  <c r="C9" i="3"/>
  <c r="B9" i="17" s="1"/>
  <c r="C10" i="3"/>
  <c r="B10" i="17" s="1"/>
  <c r="C11" i="3"/>
  <c r="B11" i="17" s="1"/>
  <c r="C12" i="3"/>
  <c r="B12" i="17" s="1"/>
  <c r="C13" i="3"/>
  <c r="B13" i="17" s="1"/>
  <c r="C14" i="3"/>
  <c r="C15" i="3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E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F2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G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H2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I2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J2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K2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L2" i="9"/>
  <c r="L3" i="9"/>
  <c r="L4" i="9"/>
  <c r="L5" i="9"/>
  <c r="L6" i="9"/>
  <c r="L7" i="9"/>
  <c r="L8" i="9"/>
  <c r="L9" i="9"/>
  <c r="L10" i="9"/>
  <c r="L11" i="9"/>
  <c r="L12" i="9"/>
  <c r="L13" i="9"/>
  <c r="L14" i="9"/>
  <c r="L15" i="9"/>
  <c r="M2" i="9"/>
  <c r="M3" i="9"/>
  <c r="M4" i="9"/>
  <c r="M5" i="9"/>
  <c r="M6" i="9"/>
  <c r="M7" i="9"/>
  <c r="M8" i="9"/>
  <c r="M9" i="9"/>
  <c r="M10" i="9"/>
  <c r="M11" i="9"/>
  <c r="M12" i="9"/>
  <c r="M13" i="9"/>
  <c r="M14" i="9"/>
  <c r="M15" i="9"/>
  <c r="N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O2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P2" i="9"/>
  <c r="P3" i="9"/>
  <c r="P4" i="9"/>
  <c r="P5" i="9"/>
  <c r="P6" i="9"/>
  <c r="P7" i="9"/>
  <c r="P8" i="9"/>
  <c r="P9" i="9"/>
  <c r="P10" i="9"/>
  <c r="P11" i="9"/>
  <c r="P12" i="9"/>
  <c r="P13" i="9"/>
  <c r="P14" i="9"/>
  <c r="P15" i="9"/>
  <c r="Q2" i="9"/>
  <c r="Q3" i="9"/>
  <c r="Q4" i="9"/>
  <c r="Q5" i="9"/>
  <c r="Q6" i="9"/>
  <c r="Q7" i="9"/>
  <c r="Q8" i="9"/>
  <c r="Q9" i="9"/>
  <c r="Q10" i="9"/>
  <c r="Q11" i="9"/>
  <c r="Q12" i="9"/>
  <c r="Q13" i="9"/>
  <c r="Q14" i="9"/>
  <c r="Q15" i="9"/>
  <c r="R2" i="9"/>
  <c r="R3" i="9"/>
  <c r="R4" i="9"/>
  <c r="R5" i="9"/>
  <c r="R6" i="9"/>
  <c r="R7" i="9"/>
  <c r="R8" i="9"/>
  <c r="R9" i="9"/>
  <c r="R10" i="9"/>
  <c r="R11" i="9"/>
  <c r="R12" i="9"/>
  <c r="R13" i="9"/>
  <c r="R14" i="9"/>
  <c r="R15" i="9"/>
  <c r="T10" i="9"/>
  <c r="T11" i="9"/>
  <c r="T12" i="9"/>
  <c r="T13" i="9"/>
  <c r="T14" i="9"/>
  <c r="T15" i="9"/>
  <c r="U2" i="9"/>
  <c r="U3" i="9"/>
  <c r="U4" i="9"/>
  <c r="U5" i="9"/>
  <c r="U6" i="9"/>
  <c r="U7" i="9"/>
  <c r="U8" i="9"/>
  <c r="U9" i="9"/>
  <c r="U10" i="9"/>
  <c r="U11" i="9"/>
  <c r="U12" i="9"/>
  <c r="U13" i="9"/>
  <c r="U14" i="9"/>
  <c r="U15" i="9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D2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E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F2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G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H2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I2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J2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K2" i="10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L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M2" i="10"/>
  <c r="M3" i="10"/>
  <c r="M4" i="10"/>
  <c r="M5" i="10"/>
  <c r="M6" i="10"/>
  <c r="M7" i="10"/>
  <c r="M8" i="10"/>
  <c r="M9" i="10"/>
  <c r="M10" i="10"/>
  <c r="M11" i="10"/>
  <c r="M12" i="10"/>
  <c r="M13" i="10"/>
  <c r="M14" i="10"/>
  <c r="M15" i="10"/>
  <c r="N2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O2" i="10"/>
  <c r="O3" i="10"/>
  <c r="O4" i="10"/>
  <c r="O5" i="10"/>
  <c r="O6" i="10"/>
  <c r="O7" i="10"/>
  <c r="O8" i="10"/>
  <c r="O9" i="10"/>
  <c r="O10" i="10"/>
  <c r="O11" i="10"/>
  <c r="O12" i="10"/>
  <c r="O13" i="10"/>
  <c r="O14" i="10"/>
  <c r="O15" i="10"/>
  <c r="P2" i="10"/>
  <c r="P3" i="10"/>
  <c r="P4" i="10"/>
  <c r="P5" i="10"/>
  <c r="P6" i="10"/>
  <c r="P7" i="10"/>
  <c r="P8" i="10"/>
  <c r="P9" i="10"/>
  <c r="P10" i="10"/>
  <c r="P11" i="10"/>
  <c r="P12" i="10"/>
  <c r="P13" i="10"/>
  <c r="P14" i="10"/>
  <c r="P15" i="10"/>
  <c r="Q2" i="10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R2" i="10"/>
  <c r="R3" i="10"/>
  <c r="R4" i="10"/>
  <c r="R5" i="10"/>
  <c r="R6" i="10"/>
  <c r="R7" i="10"/>
  <c r="R8" i="10"/>
  <c r="R9" i="10"/>
  <c r="R10" i="10"/>
  <c r="R11" i="10"/>
  <c r="R12" i="10"/>
  <c r="R13" i="10"/>
  <c r="R14" i="10"/>
  <c r="R15" i="10"/>
  <c r="S2" i="10"/>
  <c r="S3" i="10"/>
  <c r="S4" i="10"/>
  <c r="S5" i="10"/>
  <c r="S6" i="10"/>
  <c r="S7" i="10"/>
  <c r="S8" i="10"/>
  <c r="S9" i="10"/>
  <c r="S10" i="10"/>
  <c r="S11" i="10"/>
  <c r="S12" i="10"/>
  <c r="S13" i="10"/>
  <c r="S14" i="10"/>
  <c r="S15" i="10"/>
  <c r="T2" i="10"/>
  <c r="T3" i="10"/>
  <c r="T4" i="10"/>
  <c r="T5" i="10"/>
  <c r="T6" i="10"/>
  <c r="T7" i="10"/>
  <c r="T8" i="10"/>
  <c r="T9" i="10"/>
  <c r="T10" i="10"/>
  <c r="T11" i="10"/>
  <c r="T12" i="10"/>
  <c r="T13" i="10"/>
  <c r="T14" i="10"/>
  <c r="T15" i="10"/>
  <c r="U2" i="10"/>
  <c r="U3" i="10"/>
  <c r="U4" i="10"/>
  <c r="U5" i="10"/>
  <c r="U6" i="10"/>
  <c r="U7" i="10"/>
  <c r="U8" i="10"/>
  <c r="U9" i="10"/>
  <c r="U10" i="10"/>
  <c r="U11" i="10"/>
  <c r="U12" i="10"/>
  <c r="U13" i="10"/>
  <c r="U14" i="10"/>
  <c r="U15" i="10"/>
  <c r="B3" i="2"/>
  <c r="N3" i="17" s="1"/>
  <c r="B4" i="2"/>
  <c r="N4" i="17" s="1"/>
  <c r="B5" i="2"/>
  <c r="N5" i="17" s="1"/>
  <c r="B6" i="2"/>
  <c r="N6" i="17" s="1"/>
  <c r="B7" i="2"/>
  <c r="N7" i="17" s="1"/>
  <c r="B8" i="2"/>
  <c r="N8" i="17" s="1"/>
  <c r="B9" i="2"/>
  <c r="N9" i="17" s="1"/>
  <c r="B10" i="2"/>
  <c r="N10" i="17" s="1"/>
  <c r="B11" i="2"/>
  <c r="N11" i="17" s="1"/>
  <c r="B12" i="2"/>
  <c r="N12" i="17" s="1"/>
  <c r="B13" i="2"/>
  <c r="N13" i="17" s="1"/>
  <c r="B14" i="2"/>
  <c r="O2" i="17" s="1"/>
  <c r="B15" i="2"/>
  <c r="O3" i="17" s="1"/>
  <c r="B16" i="2"/>
  <c r="O4" i="17" s="1"/>
  <c r="B17" i="2"/>
  <c r="O5" i="17" s="1"/>
  <c r="B18" i="2"/>
  <c r="O6" i="17" s="1"/>
  <c r="B19" i="2"/>
  <c r="O7" i="17" s="1"/>
  <c r="B20" i="2"/>
  <c r="B21" i="2"/>
  <c r="B22" i="2"/>
  <c r="B23" i="2"/>
  <c r="B24" i="2"/>
  <c r="B25" i="2"/>
  <c r="B26" i="2"/>
  <c r="B27" i="2"/>
  <c r="B28" i="2"/>
  <c r="B29" i="2"/>
  <c r="B30" i="2"/>
  <c r="P6" i="17" s="1"/>
  <c r="B2" i="2"/>
  <c r="N2" i="17" s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P5" i="17" l="1"/>
  <c r="J5" i="17"/>
  <c r="P4" i="17"/>
  <c r="J4" i="17"/>
  <c r="J3" i="17"/>
  <c r="P3" i="17"/>
  <c r="P2" i="17"/>
  <c r="J2" i="17"/>
  <c r="O13" i="17"/>
  <c r="I13" i="17"/>
  <c r="O12" i="17"/>
  <c r="I12" i="17"/>
  <c r="O11" i="17"/>
  <c r="I11" i="17"/>
  <c r="L21" i="15"/>
  <c r="O10" i="17"/>
  <c r="I10" i="17"/>
  <c r="I9" i="17"/>
  <c r="O9" i="17"/>
  <c r="I8" i="17"/>
  <c r="Y21" i="15"/>
  <c r="J6" i="17"/>
  <c r="O8" i="17"/>
  <c r="D4" i="17"/>
  <c r="X28" i="3"/>
  <c r="C8" i="17"/>
  <c r="X20" i="3"/>
  <c r="X32" i="3"/>
  <c r="C21" i="15"/>
  <c r="S21" i="15" s="1"/>
  <c r="C11" i="17"/>
  <c r="X23" i="3"/>
  <c r="C7" i="17"/>
  <c r="X19" i="3"/>
  <c r="C3" i="17"/>
  <c r="X15" i="3"/>
  <c r="D6" i="17"/>
  <c r="X30" i="3"/>
  <c r="D2" i="17"/>
  <c r="X26" i="3"/>
  <c r="C10" i="17"/>
  <c r="X22" i="3"/>
  <c r="C6" i="17"/>
  <c r="X18" i="3"/>
  <c r="C2" i="17"/>
  <c r="X14" i="3"/>
  <c r="X31" i="3"/>
  <c r="C12" i="17"/>
  <c r="X24" i="3"/>
  <c r="C4" i="17"/>
  <c r="X16" i="3"/>
  <c r="D3" i="17"/>
  <c r="X27" i="3"/>
  <c r="D5" i="17"/>
  <c r="X29" i="3"/>
  <c r="C13" i="17"/>
  <c r="X25" i="3"/>
  <c r="C9" i="17"/>
  <c r="X21" i="3"/>
  <c r="C5" i="17"/>
  <c r="X17" i="3"/>
  <c r="AG21" i="15"/>
  <c r="B15" i="10"/>
  <c r="B11" i="10"/>
  <c r="B7" i="10"/>
  <c r="B3" i="10"/>
  <c r="B4" i="10"/>
  <c r="B12" i="10"/>
  <c r="B8" i="10"/>
  <c r="B14" i="10"/>
  <c r="B6" i="10"/>
  <c r="B13" i="10"/>
  <c r="B9" i="10"/>
  <c r="B5" i="10"/>
  <c r="B10" i="10"/>
  <c r="B2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C30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16" i="10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T16" i="9"/>
  <c r="U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T17" i="9"/>
  <c r="U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T18" i="9"/>
  <c r="U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T19" i="9"/>
  <c r="U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T20" i="9"/>
  <c r="U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T21" i="9"/>
  <c r="U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T22" i="9"/>
  <c r="U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T23" i="9"/>
  <c r="U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T24" i="9"/>
  <c r="U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T25" i="9"/>
  <c r="U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T26" i="9"/>
  <c r="U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T27" i="9"/>
  <c r="U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T28" i="9"/>
  <c r="U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T29" i="9"/>
  <c r="U29" i="9"/>
  <c r="D30" i="9"/>
  <c r="D43" i="9" s="1"/>
  <c r="E30" i="9"/>
  <c r="E43" i="9" s="1"/>
  <c r="F30" i="9"/>
  <c r="F43" i="9" s="1"/>
  <c r="G30" i="9"/>
  <c r="G43" i="9" s="1"/>
  <c r="H30" i="9"/>
  <c r="H43" i="9" s="1"/>
  <c r="I30" i="9"/>
  <c r="I43" i="9" s="1"/>
  <c r="J30" i="9"/>
  <c r="J43" i="9" s="1"/>
  <c r="K30" i="9"/>
  <c r="K43" i="9" s="1"/>
  <c r="L30" i="9"/>
  <c r="L43" i="9" s="1"/>
  <c r="M30" i="9"/>
  <c r="M43" i="9" s="1"/>
  <c r="N30" i="9"/>
  <c r="N43" i="9" s="1"/>
  <c r="O30" i="9"/>
  <c r="O43" i="9" s="1"/>
  <c r="P30" i="9"/>
  <c r="P43" i="9" s="1"/>
  <c r="Q30" i="9"/>
  <c r="Q43" i="9" s="1"/>
  <c r="R30" i="9"/>
  <c r="R43" i="9" s="1"/>
  <c r="T30" i="9"/>
  <c r="T43" i="9" s="1"/>
  <c r="U30" i="9"/>
  <c r="U43" i="9" s="1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43" i="9" s="1"/>
  <c r="C16" i="9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4" i="9" s="1"/>
  <c r="B17" i="8"/>
  <c r="B3" i="9" s="1"/>
  <c r="B16" i="8"/>
  <c r="B2" i="9" s="1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43" i="7" s="1"/>
  <c r="B30" i="7"/>
  <c r="B16" i="7"/>
  <c r="B15" i="9" l="1"/>
  <c r="B14" i="9"/>
  <c r="B13" i="9"/>
  <c r="I21" i="15"/>
  <c r="AF21" i="15" s="1"/>
  <c r="B12" i="9"/>
  <c r="B11" i="9"/>
  <c r="B10" i="9"/>
  <c r="F21" i="15"/>
  <c r="X21" i="15" s="1"/>
  <c r="B9" i="9"/>
  <c r="B26" i="9"/>
  <c r="B8" i="9"/>
  <c r="B7" i="9"/>
  <c r="B6" i="9"/>
  <c r="B5" i="9"/>
  <c r="B22" i="9"/>
  <c r="B18" i="9"/>
  <c r="B29" i="9"/>
  <c r="B17" i="9"/>
  <c r="B27" i="9"/>
  <c r="B23" i="9"/>
  <c r="B19" i="9"/>
  <c r="B30" i="9"/>
  <c r="B43" i="9" s="1"/>
  <c r="B25" i="9"/>
  <c r="B21" i="9"/>
  <c r="B28" i="9"/>
  <c r="B24" i="9"/>
  <c r="B20" i="9"/>
  <c r="B16" i="9"/>
  <c r="B44" i="3"/>
  <c r="B43" i="3"/>
  <c r="B44" i="1" l="1"/>
  <c r="B43" i="1" l="1"/>
</calcChain>
</file>

<file path=xl/sharedStrings.xml><?xml version="1.0" encoding="utf-8"?>
<sst xmlns="http://schemas.openxmlformats.org/spreadsheetml/2006/main" count="354" uniqueCount="70">
  <si>
    <t>month</t>
  </si>
  <si>
    <t>National</t>
  </si>
  <si>
    <t>CA | Los Angeles</t>
  </si>
  <si>
    <t>IL | Chicago</t>
  </si>
  <si>
    <t>DC | Washington</t>
  </si>
  <si>
    <t>PA | Philadelphia</t>
  </si>
  <si>
    <t>CA | San Francisco</t>
  </si>
  <si>
    <t>CA | Inland Empire</t>
  </si>
  <si>
    <t>AZ | Phoenix</t>
  </si>
  <si>
    <t>MA | Boston</t>
  </si>
  <si>
    <t>WA | Seattle</t>
  </si>
  <si>
    <t>CA | San Diego</t>
  </si>
  <si>
    <t>NY | Long Island</t>
  </si>
  <si>
    <t>MD | Baltimore</t>
  </si>
  <si>
    <t>CO | Denver</t>
  </si>
  <si>
    <t>CA | Sacramento</t>
  </si>
  <si>
    <t>OR | Portland</t>
  </si>
  <si>
    <t>NV | Las Vegas</t>
  </si>
  <si>
    <t>CA | San Jose</t>
  </si>
  <si>
    <t>TX | Austin</t>
  </si>
  <si>
    <t>CA | Ventura</t>
  </si>
  <si>
    <t>YoY</t>
  </si>
  <si>
    <t>MoM</t>
  </si>
  <si>
    <t>population</t>
  </si>
  <si>
    <t>market</t>
  </si>
  <si>
    <t>National (Raw)</t>
  </si>
  <si>
    <t>Median $/SqFt</t>
  </si>
  <si>
    <t>Inventory</t>
  </si>
  <si>
    <t>Sales</t>
  </si>
  <si>
    <t>&lt;2 Week Pending</t>
  </si>
  <si>
    <t>Med-YoY</t>
  </si>
  <si>
    <t>Med-MoM</t>
  </si>
  <si>
    <t>Inv-YoY</t>
  </si>
  <si>
    <t>Inv-MoM</t>
  </si>
  <si>
    <t>Sls-YoY</t>
  </si>
  <si>
    <t>Sls-MoM</t>
  </si>
  <si>
    <t>Phoenix</t>
  </si>
  <si>
    <t>Metropolitan Statistical Area</t>
  </si>
  <si>
    <t>Yearly Change</t>
  </si>
  <si>
    <t>Monthly Change</t>
  </si>
  <si>
    <t># of Houses for Sale</t>
  </si>
  <si>
    <t>Inland Empire</t>
  </si>
  <si>
    <t>Los Angeles</t>
  </si>
  <si>
    <t>Sacramento</t>
  </si>
  <si>
    <t>San Diego</t>
  </si>
  <si>
    <t>San Francisco</t>
  </si>
  <si>
    <t>San Jose</t>
  </si>
  <si>
    <t>Ventura</t>
  </si>
  <si>
    <t>Denver</t>
  </si>
  <si>
    <t>Washington</t>
  </si>
  <si>
    <t>Chicago</t>
  </si>
  <si>
    <t>Boston</t>
  </si>
  <si>
    <t>Baltimore</t>
  </si>
  <si>
    <t>Las Vegas</t>
  </si>
  <si>
    <t>Long Island</t>
  </si>
  <si>
    <t>Portland</t>
  </si>
  <si>
    <t>Philadelphia</t>
  </si>
  <si>
    <t>Austin</t>
  </si>
  <si>
    <t>Seattle</t>
  </si>
  <si>
    <t>% Sold within
14 Days of Debut</t>
  </si>
  <si>
    <t>Pending</t>
  </si>
  <si>
    <t>Pend-YoY</t>
  </si>
  <si>
    <t>Pend-MoM</t>
  </si>
  <si>
    <t># of Houses Sold</t>
  </si>
  <si>
    <t>Month</t>
  </si>
  <si>
    <t>2010</t>
  </si>
  <si>
    <t>2011</t>
  </si>
  <si>
    <t>2012</t>
  </si>
  <si>
    <t>Market</t>
  </si>
  <si>
    <t>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</si>
</sst>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"/>
    <numFmt numFmtId="165" formatCode="0.0%"/>
    <numFmt numFmtId="166" formatCode="0.0"/>
    <numFmt numFmtId="167" formatCode="mmmm\ yyyy"/>
    <numFmt numFmtId="168" formatCode="mmmm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02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" fontId="1" fillId="0" borderId="0" xfId="0" applyNumberFormat="1" applyFont="1" applyBorder="1"/>
    <xf numFmtId="3" fontId="1" fillId="0" borderId="0" xfId="0" applyNumberFormat="1" applyFont="1" applyBorder="1"/>
    <xf numFmtId="3" fontId="0" fillId="0" borderId="0" xfId="0" applyNumberFormat="1" applyBorder="1"/>
    <xf numFmtId="0" fontId="0" fillId="0" borderId="0" xfId="0" applyBorder="1"/>
    <xf numFmtId="0" fontId="1" fillId="0" borderId="0" xfId="0" applyFont="1" applyBorder="1"/>
    <xf numFmtId="165" fontId="1" fillId="0" borderId="0" xfId="0" applyNumberFormat="1" applyFont="1" applyBorder="1"/>
    <xf numFmtId="165" fontId="0" fillId="0" borderId="0" xfId="0" applyNumberForma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0" borderId="0" xfId="0" applyNumberFormat="1" applyFont="1" applyBorder="1"/>
    <xf numFmtId="164" fontId="0" fillId="0" borderId="0" xfId="0" applyNumberFormat="1" applyBorder="1"/>
    <xf numFmtId="165" fontId="0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0" fillId="0" borderId="0" xfId="0" applyNumberFormat="1"/>
    <xf numFmtId="164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1" fillId="0" borderId="0" xfId="0" applyNumberFormat="1" applyFont="1" applyBorder="1"/>
    <xf numFmtId="166" fontId="0" fillId="0" borderId="0" xfId="0" applyNumberFormat="1" applyBorder="1"/>
    <xf numFmtId="164" fontId="18" fillId="0" borderId="0" xfId="0" applyNumberFormat="1" applyFont="1" applyBorder="1"/>
    <xf numFmtId="167" fontId="19" fillId="0" borderId="12" xfId="0" applyNumberFormat="1" applyFont="1" applyBorder="1" applyAlignment="1">
      <alignment horizontal="center"/>
    </xf>
    <xf numFmtId="164" fontId="19" fillId="0" borderId="12" xfId="0" applyNumberFormat="1" applyFont="1" applyBorder="1" applyAlignment="1"/>
    <xf numFmtId="165" fontId="19" fillId="0" borderId="13" xfId="0" applyNumberFormat="1" applyFont="1" applyBorder="1" applyAlignment="1"/>
    <xf numFmtId="165" fontId="19" fillId="0" borderId="14" xfId="0" applyNumberFormat="1" applyFont="1" applyBorder="1" applyAlignment="1"/>
    <xf numFmtId="3" fontId="19" fillId="0" borderId="12" xfId="0" applyNumberFormat="1" applyFont="1" applyBorder="1" applyAlignment="1"/>
    <xf numFmtId="0" fontId="19" fillId="0" borderId="0" xfId="0" applyFont="1" applyAlignment="1"/>
    <xf numFmtId="0" fontId="20" fillId="33" borderId="0" xfId="0" applyFont="1" applyFill="1" applyBorder="1" applyAlignment="1">
      <alignment horizontal="center" wrapText="1"/>
    </xf>
    <xf numFmtId="164" fontId="20" fillId="33" borderId="0" xfId="0" applyNumberFormat="1" applyFont="1" applyFill="1" applyBorder="1" applyAlignment="1">
      <alignment horizontal="center" wrapText="1"/>
    </xf>
    <xf numFmtId="165" fontId="20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Alignment="1">
      <alignment horizontal="center" wrapText="1"/>
    </xf>
    <xf numFmtId="3" fontId="19" fillId="33" borderId="0" xfId="0" applyNumberFormat="1" applyFont="1" applyFill="1" applyAlignment="1">
      <alignment horizontal="center" wrapText="1"/>
    </xf>
    <xf numFmtId="165" fontId="19" fillId="33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0" xfId="0" applyFont="1" applyBorder="1"/>
    <xf numFmtId="164" fontId="20" fillId="0" borderId="10" xfId="0" applyNumberFormat="1" applyFont="1" applyBorder="1"/>
    <xf numFmtId="165" fontId="20" fillId="0" borderId="0" xfId="0" applyNumberFormat="1" applyFont="1" applyBorder="1"/>
    <xf numFmtId="165" fontId="20" fillId="0" borderId="11" xfId="0" applyNumberFormat="1" applyFont="1" applyBorder="1"/>
    <xf numFmtId="3" fontId="20" fillId="0" borderId="10" xfId="0" applyNumberFormat="1" applyFont="1" applyBorder="1"/>
    <xf numFmtId="0" fontId="20" fillId="0" borderId="0" xfId="0" applyFont="1"/>
    <xf numFmtId="0" fontId="20" fillId="0" borderId="0" xfId="0" applyFont="1" applyFill="1" applyBorder="1"/>
    <xf numFmtId="164" fontId="20" fillId="0" borderId="0" xfId="0" applyNumberFormat="1" applyFont="1" applyFill="1" applyBorder="1"/>
    <xf numFmtId="165" fontId="20" fillId="0" borderId="0" xfId="0" applyNumberFormat="1" applyFont="1" applyFill="1" applyBorder="1"/>
    <xf numFmtId="3" fontId="20" fillId="0" borderId="0" xfId="0" applyNumberFormat="1" applyFont="1"/>
    <xf numFmtId="165" fontId="20" fillId="0" borderId="0" xfId="0" applyNumberFormat="1" applyFont="1"/>
    <xf numFmtId="164" fontId="19" fillId="0" borderId="10" xfId="0" applyNumberFormat="1" applyFont="1" applyBorder="1"/>
    <xf numFmtId="165" fontId="19" fillId="0" borderId="0" xfId="0" applyNumberFormat="1" applyFont="1" applyBorder="1"/>
    <xf numFmtId="165" fontId="19" fillId="0" borderId="11" xfId="0" applyNumberFormat="1" applyFont="1" applyBorder="1"/>
    <xf numFmtId="3" fontId="19" fillId="0" borderId="10" xfId="0" applyNumberFormat="1" applyFont="1" applyBorder="1"/>
    <xf numFmtId="0" fontId="19" fillId="0" borderId="0" xfId="0" applyFont="1"/>
    <xf numFmtId="0" fontId="19" fillId="0" borderId="0" xfId="0" applyFont="1" applyFill="1" applyBorder="1"/>
    <xf numFmtId="164" fontId="19" fillId="0" borderId="0" xfId="0" applyNumberFormat="1" applyFont="1" applyFill="1" applyBorder="1"/>
    <xf numFmtId="165" fontId="19" fillId="0" borderId="0" xfId="0" applyNumberFormat="1" applyFont="1" applyFill="1" applyBorder="1"/>
    <xf numFmtId="3" fontId="19" fillId="0" borderId="0" xfId="0" applyNumberFormat="1" applyFont="1"/>
    <xf numFmtId="165" fontId="19" fillId="0" borderId="0" xfId="0" applyNumberFormat="1" applyFont="1"/>
    <xf numFmtId="164" fontId="20" fillId="0" borderId="0" xfId="0" applyNumberFormat="1" applyFont="1"/>
    <xf numFmtId="168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21" fillId="0" borderId="0" xfId="0" applyNumberFormat="1" applyFont="1" applyBorder="1"/>
    <xf numFmtId="164" fontId="22" fillId="0" borderId="0" xfId="0" applyNumberFormat="1" applyFont="1" applyBorder="1"/>
    <xf numFmtId="164" fontId="0" fillId="0" borderId="15" xfId="0" applyNumberFormat="1" applyBorder="1" applyAlignment="1">
      <alignment horizontal="center"/>
    </xf>
    <xf numFmtId="164" fontId="23" fillId="0" borderId="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30"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  <numFmt numFmtId="3" formatCode="#,##0"/>
    </dxf>
    <dxf>
      <font>
        <b/>
      </font>
      <numFmt numFmtId="22" formatCode="mmm\-yy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  <dxf>
      <font>
        <b/>
      </font>
      <numFmt numFmtId="165" formatCode="0.0%"/>
    </dxf>
    <dxf>
      <font>
        <b/>
      </font>
      <numFmt numFmtId="22" formatCode="mmm\-yy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  <numFmt numFmtId="3" formatCode="#,##0"/>
    </dxf>
    <dxf>
      <font>
        <b/>
      </font>
      <numFmt numFmtId="22" formatCode="mmm\-yy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font>
        <b/>
      </font>
      <numFmt numFmtId="166" formatCode="0.0"/>
    </dxf>
    <dxf>
      <font>
        <b/>
      </font>
      <numFmt numFmtId="22" formatCode="mmm\-yy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  <numFmt numFmtId="3" formatCode="#,##0"/>
    </dxf>
    <dxf>
      <font>
        <b/>
      </font>
      <numFmt numFmtId="22" formatCode="mmm\-yy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  <numFmt numFmtId="3" formatCode="#,##0"/>
    </dxf>
    <dxf>
      <font>
        <b/>
      </font>
      <numFmt numFmtId="22" formatCode="mmm\-yy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  <numFmt numFmtId="3" formatCode="#,##0"/>
    </dxf>
    <dxf>
      <font>
        <b/>
      </font>
      <numFmt numFmtId="22" formatCode="mmm\-yy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/>
      </font>
      <numFmt numFmtId="164" formatCode="&quot;$&quot;#,##0"/>
    </dxf>
    <dxf>
      <font>
        <b/>
      </font>
      <numFmt numFmtId="22" formatCode="mmm\-yy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/>
      </font>
      <numFmt numFmtId="164" formatCode="&quot;$&quot;#,##0"/>
    </dxf>
    <dxf>
      <font>
        <b/>
      </font>
      <numFmt numFmtId="22" formatCode="mmm\-yy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numFmt numFmtId="164" formatCode="&quot;$&quot;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A0202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A0202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A0202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A0202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border diagonalUp="0" diagonalDown="0" outline="0">
        <left/>
        <right style="medium">
          <color indexed="64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border diagonalUp="0" diagonalDown="0" outline="0">
        <left style="medium">
          <color indexed="64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%"/>
      <alignment vertical="bottom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E96727"/>
      <color rgb="FFBBCC39"/>
      <color rgb="FFA02021"/>
      <color rgb="FF2A6F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3" Type="http://schemas.openxmlformats.org/officeDocument/2006/relationships/chartsheet" Target="chartsheets/sheet1.xml"/><Relationship Id="rId21" Type="http://schemas.openxmlformats.org/officeDocument/2006/relationships/styles" Target="styles.xml"/><Relationship Id="rId7" Type="http://schemas.openxmlformats.org/officeDocument/2006/relationships/chartsheet" Target="chartsheets/sheet5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2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worksheet" Target="worksheets/sheet7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Redfin Real-Time Price Tracker</a:t>
            </a:r>
          </a:p>
          <a:p>
            <a:pPr>
              <a:defRPr sz="3200"/>
            </a:pPr>
            <a:r>
              <a:rPr lang="en-US" sz="3200"/>
              <a:t>19-Market Median Price per Square Foot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'by-year'!$B$1</c:f>
              <c:strCache>
                <c:ptCount val="1"/>
                <c:pt idx="0">
                  <c:v>2010</c:v>
                </c:pt>
              </c:strCache>
            </c:strRef>
          </c:tx>
          <c:spPr>
            <a:ln w="50800" cap="flat">
              <a:solidFill>
                <a:srgbClr val="2A6FA5"/>
              </a:solidFill>
              <a:miter lim="800000"/>
            </a:ln>
          </c:spPr>
          <c:marker>
            <c:symbol val="diamond"/>
            <c:size val="11"/>
            <c:spPr>
              <a:solidFill>
                <a:srgbClr val="2A6FA5"/>
              </a:solidFill>
              <a:ln w="25400">
                <a:solidFill>
                  <a:schemeClr val="bg1"/>
                </a:solidFill>
              </a:ln>
            </c:spPr>
          </c:marker>
          <c:cat>
            <c:numRef>
              <c:f>'by-year'!$A$2:$A$13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'by-year'!$B$2:$B$13</c:f>
              <c:numCache>
                <c:formatCode>"$"#,##0</c:formatCode>
                <c:ptCount val="12"/>
                <c:pt idx="0">
                  <c:v>171.62629381771805</c:v>
                </c:pt>
                <c:pt idx="1">
                  <c:v>170.91567218531728</c:v>
                </c:pt>
                <c:pt idx="2">
                  <c:v>177.33929115035198</c:v>
                </c:pt>
                <c:pt idx="3">
                  <c:v>180.19419643038154</c:v>
                </c:pt>
                <c:pt idx="4">
                  <c:v>185.61343317912235</c:v>
                </c:pt>
                <c:pt idx="5">
                  <c:v>185.54045681038417</c:v>
                </c:pt>
                <c:pt idx="6">
                  <c:v>184.23580728002989</c:v>
                </c:pt>
                <c:pt idx="7">
                  <c:v>181.14954585540704</c:v>
                </c:pt>
                <c:pt idx="8">
                  <c:v>178.70478981200228</c:v>
                </c:pt>
                <c:pt idx="9">
                  <c:v>177.13374076087527</c:v>
                </c:pt>
                <c:pt idx="10">
                  <c:v>176.38432256755044</c:v>
                </c:pt>
                <c:pt idx="11">
                  <c:v>172.95315051946454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'by-year'!$C$1</c:f>
              <c:strCache>
                <c:ptCount val="1"/>
                <c:pt idx="0">
                  <c:v>2011</c:v>
                </c:pt>
              </c:strCache>
            </c:strRef>
          </c:tx>
          <c:spPr>
            <a:ln w="50800" cap="flat">
              <a:solidFill>
                <a:srgbClr val="A02021"/>
              </a:solidFill>
              <a:miter lim="800000"/>
            </a:ln>
          </c:spPr>
          <c:marker>
            <c:symbol val="circle"/>
            <c:size val="9"/>
            <c:spPr>
              <a:solidFill>
                <a:srgbClr val="A02021"/>
              </a:solidFill>
              <a:ln w="25400">
                <a:solidFill>
                  <a:schemeClr val="bg1"/>
                </a:solidFill>
              </a:ln>
            </c:spPr>
          </c:marker>
          <c:cat>
            <c:numRef>
              <c:f>'by-year'!$A$2:$A$13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'by-year'!$C$2:$C$13</c:f>
              <c:numCache>
                <c:formatCode>"$"#,##0</c:formatCode>
                <c:ptCount val="12"/>
                <c:pt idx="0">
                  <c:v>166.32615859807322</c:v>
                </c:pt>
                <c:pt idx="1">
                  <c:v>164.61016047621487</c:v>
                </c:pt>
                <c:pt idx="2">
                  <c:v>168.680358828875</c:v>
                </c:pt>
                <c:pt idx="3">
                  <c:v>171.56250039190991</c:v>
                </c:pt>
                <c:pt idx="4">
                  <c:v>173.67849962791698</c:v>
                </c:pt>
                <c:pt idx="5">
                  <c:v>176.77644821027747</c:v>
                </c:pt>
                <c:pt idx="6">
                  <c:v>176.00093558392931</c:v>
                </c:pt>
                <c:pt idx="7">
                  <c:v>173.19560589180068</c:v>
                </c:pt>
                <c:pt idx="8">
                  <c:v>170.65561768848539</c:v>
                </c:pt>
                <c:pt idx="9">
                  <c:v>166.25464566524096</c:v>
                </c:pt>
                <c:pt idx="10">
                  <c:v>167.37710805476922</c:v>
                </c:pt>
                <c:pt idx="11">
                  <c:v>164.47139382302916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'by-year'!$D$1</c:f>
              <c:strCache>
                <c:ptCount val="1"/>
                <c:pt idx="0">
                  <c:v>2012</c:v>
                </c:pt>
              </c:strCache>
            </c:strRef>
          </c:tx>
          <c:spPr>
            <a:ln w="50800" cap="flat">
              <a:solidFill>
                <a:srgbClr val="BBCC39"/>
              </a:solidFill>
              <a:miter lim="800000"/>
            </a:ln>
          </c:spPr>
          <c:marker>
            <c:symbol val="square"/>
            <c:size val="9"/>
            <c:spPr>
              <a:solidFill>
                <a:srgbClr val="BBCC39"/>
              </a:solidFill>
              <a:ln w="25400">
                <a:solidFill>
                  <a:schemeClr val="bg1"/>
                </a:solidFill>
              </a:ln>
            </c:spPr>
          </c:marker>
          <c:cat>
            <c:numRef>
              <c:f>'by-year'!$A$2:$A$13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'by-year'!$D$2:$D$13</c:f>
              <c:numCache>
                <c:formatCode>"$"#,##0</c:formatCode>
                <c:ptCount val="12"/>
                <c:pt idx="0">
                  <c:v>160.87688523032872</c:v>
                </c:pt>
                <c:pt idx="1">
                  <c:v>160.37804025937277</c:v>
                </c:pt>
                <c:pt idx="2">
                  <c:v>167.13294887845018</c:v>
                </c:pt>
                <c:pt idx="3">
                  <c:v>172.7882320594085</c:v>
                </c:pt>
                <c:pt idx="4">
                  <c:v>177.50241678066394</c:v>
                </c:pt>
                <c:pt idx="5">
                  <c:v>181.80837294320276</c:v>
                </c:pt>
                <c:pt idx="6">
                  <c:v>181.52836639616723</c:v>
                </c:pt>
                <c:pt idx="7">
                  <c:v>181.47747734328618</c:v>
                </c:pt>
                <c:pt idx="8">
                  <c:v>179.5118490934087</c:v>
                </c:pt>
                <c:pt idx="9">
                  <c:v>180.22942306121982</c:v>
                </c:pt>
                <c:pt idx="10">
                  <c:v>183.66727284621453</c:v>
                </c:pt>
                <c:pt idx="11">
                  <c:v>181.81324164433082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'by-year'!$E$1</c:f>
              <c:strCache>
                <c:ptCount val="1"/>
                <c:pt idx="0">
                  <c:v>2013</c:v>
                </c:pt>
              </c:strCache>
            </c:strRef>
          </c:tx>
          <c:spPr>
            <a:ln w="50800" cap="flat">
              <a:solidFill>
                <a:srgbClr val="E96727"/>
              </a:solidFill>
              <a:miter lim="800000"/>
            </a:ln>
          </c:spPr>
          <c:marker>
            <c:symbol val="triangle"/>
            <c:size val="15"/>
            <c:spPr>
              <a:solidFill>
                <a:srgbClr val="E96727"/>
              </a:solidFill>
              <a:ln w="25400">
                <a:solidFill>
                  <a:schemeClr val="bg1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>
                    <a:solidFill>
                      <a:srgbClr val="E96727"/>
                    </a:solidFill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'by-year'!$A$2:$A$13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'by-year'!$E$2:$E$13</c:f>
              <c:numCache>
                <c:formatCode>"$"#,##0</c:formatCode>
                <c:ptCount val="12"/>
                <c:pt idx="0">
                  <c:v>177.34392548928309</c:v>
                </c:pt>
                <c:pt idx="1">
                  <c:v>181.10703108271213</c:v>
                </c:pt>
                <c:pt idx="2">
                  <c:v>191.36783482661303</c:v>
                </c:pt>
                <c:pt idx="3">
                  <c:v>199.89730975363611</c:v>
                </c:pt>
                <c:pt idx="4">
                  <c:v>208.4227762165448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8000"/>
        <c:axId val="73729536"/>
      </c:lineChart>
      <c:dateAx>
        <c:axId val="7372800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n-US"/>
          </a:p>
        </c:txPr>
        <c:crossAx val="73729536"/>
        <c:crossesAt val="100"/>
        <c:auto val="1"/>
        <c:lblOffset val="100"/>
        <c:baseTimeUnit val="months"/>
      </c:dateAx>
      <c:valAx>
        <c:axId val="73729536"/>
        <c:scaling>
          <c:orientation val="minMax"/>
          <c:max val="210"/>
          <c:min val="150"/>
        </c:scaling>
        <c:delete val="0"/>
        <c:axPos val="l"/>
        <c:majorGridlines/>
        <c:minorGridlines>
          <c:spPr>
            <a:ln>
              <a:prstDash val="sysDot"/>
            </a:ln>
          </c:spPr>
        </c:min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3728000"/>
        <c:crosses val="autoZero"/>
        <c:crossBetween val="between"/>
        <c:majorUnit val="10"/>
      </c:valAx>
    </c:plotArea>
    <c:legend>
      <c:legendPos val="r"/>
      <c:legendEntry>
        <c:idx val="0"/>
        <c:txPr>
          <a:bodyPr/>
          <a:lstStyle/>
          <a:p>
            <a:pPr>
              <a:defRPr sz="18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8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800" b="1"/>
            </a:pPr>
            <a:endParaRPr lang="en-US"/>
          </a:p>
        </c:txPr>
      </c:legendEntry>
      <c:layout>
        <c:manualLayout>
          <c:xMode val="edge"/>
          <c:yMode val="edge"/>
          <c:x val="5.45351614019867E-2"/>
          <c:y val="0.20616913052282992"/>
          <c:w val="7.9065108514190324E-2"/>
          <c:h val="0.23003657069341371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180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HelveticaNeueLT Pro 55 Roman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Redfin Real-Time Price Tracker</a:t>
            </a:r>
          </a:p>
          <a:p>
            <a:pPr>
              <a:defRPr sz="3200"/>
            </a:pPr>
            <a:r>
              <a:rPr lang="en-US" sz="3200"/>
              <a:t>19-Market Total Active Listings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'by-year'!$H$1</c:f>
              <c:strCache>
                <c:ptCount val="1"/>
                <c:pt idx="0">
                  <c:v>2010</c:v>
                </c:pt>
              </c:strCache>
            </c:strRef>
          </c:tx>
          <c:spPr>
            <a:ln w="50800" cap="flat">
              <a:solidFill>
                <a:srgbClr val="2A6FA5"/>
              </a:solidFill>
              <a:miter lim="800000"/>
            </a:ln>
          </c:spPr>
          <c:marker>
            <c:symbol val="diamond"/>
            <c:size val="11"/>
            <c:spPr>
              <a:solidFill>
                <a:srgbClr val="2A6FA5"/>
              </a:solidFill>
              <a:ln w="25400">
                <a:solidFill>
                  <a:schemeClr val="bg1"/>
                </a:solidFill>
              </a:ln>
            </c:spPr>
          </c:marker>
          <c:cat>
            <c:numRef>
              <c:f>'by-year'!$G$2:$G$13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'by-year'!$H$2:$H$13</c:f>
              <c:numCache>
                <c:formatCode>#,##0</c:formatCode>
                <c:ptCount val="12"/>
                <c:pt idx="0">
                  <c:v>272928</c:v>
                </c:pt>
                <c:pt idx="1">
                  <c:v>285530</c:v>
                </c:pt>
                <c:pt idx="2">
                  <c:v>305294</c:v>
                </c:pt>
                <c:pt idx="3">
                  <c:v>317175</c:v>
                </c:pt>
                <c:pt idx="4">
                  <c:v>317979</c:v>
                </c:pt>
                <c:pt idx="5">
                  <c:v>328047</c:v>
                </c:pt>
                <c:pt idx="6">
                  <c:v>330982</c:v>
                </c:pt>
                <c:pt idx="7">
                  <c:v>333788</c:v>
                </c:pt>
                <c:pt idx="8">
                  <c:v>333368</c:v>
                </c:pt>
                <c:pt idx="9">
                  <c:v>319973</c:v>
                </c:pt>
                <c:pt idx="10">
                  <c:v>307641</c:v>
                </c:pt>
                <c:pt idx="11">
                  <c:v>286028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'by-year'!$I$1</c:f>
              <c:strCache>
                <c:ptCount val="1"/>
                <c:pt idx="0">
                  <c:v>2011</c:v>
                </c:pt>
              </c:strCache>
            </c:strRef>
          </c:tx>
          <c:spPr>
            <a:ln w="50800" cap="flat">
              <a:solidFill>
                <a:srgbClr val="A02021"/>
              </a:solidFill>
              <a:miter lim="800000"/>
            </a:ln>
          </c:spPr>
          <c:marker>
            <c:symbol val="circle"/>
            <c:size val="9"/>
            <c:spPr>
              <a:solidFill>
                <a:srgbClr val="A02021"/>
              </a:solidFill>
              <a:ln w="25400">
                <a:solidFill>
                  <a:schemeClr val="bg1"/>
                </a:solidFill>
              </a:ln>
            </c:spPr>
          </c:marker>
          <c:cat>
            <c:numRef>
              <c:f>'by-year'!$G$2:$G$13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'by-year'!$I$2:$I$13</c:f>
              <c:numCache>
                <c:formatCode>#,##0</c:formatCode>
                <c:ptCount val="12"/>
                <c:pt idx="0">
                  <c:v>285167</c:v>
                </c:pt>
                <c:pt idx="1">
                  <c:v>286593</c:v>
                </c:pt>
                <c:pt idx="2">
                  <c:v>292822</c:v>
                </c:pt>
                <c:pt idx="3">
                  <c:v>298574</c:v>
                </c:pt>
                <c:pt idx="4">
                  <c:v>304680</c:v>
                </c:pt>
                <c:pt idx="5">
                  <c:v>305332</c:v>
                </c:pt>
                <c:pt idx="6">
                  <c:v>297798</c:v>
                </c:pt>
                <c:pt idx="7">
                  <c:v>292038</c:v>
                </c:pt>
                <c:pt idx="8">
                  <c:v>287470</c:v>
                </c:pt>
                <c:pt idx="9">
                  <c:v>276974</c:v>
                </c:pt>
                <c:pt idx="10">
                  <c:v>261922</c:v>
                </c:pt>
                <c:pt idx="11">
                  <c:v>241470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'by-year'!$J$1</c:f>
              <c:strCache>
                <c:ptCount val="1"/>
                <c:pt idx="0">
                  <c:v>2012</c:v>
                </c:pt>
              </c:strCache>
            </c:strRef>
          </c:tx>
          <c:spPr>
            <a:ln w="50800" cap="flat">
              <a:solidFill>
                <a:srgbClr val="BBCC39"/>
              </a:solidFill>
              <a:miter lim="800000"/>
            </a:ln>
          </c:spPr>
          <c:marker>
            <c:symbol val="square"/>
            <c:size val="9"/>
            <c:spPr>
              <a:solidFill>
                <a:srgbClr val="BBCC39"/>
              </a:solidFill>
              <a:ln w="25400">
                <a:solidFill>
                  <a:schemeClr val="bg1"/>
                </a:solidFill>
              </a:ln>
            </c:spPr>
          </c:marker>
          <c:cat>
            <c:numRef>
              <c:f>'by-year'!$G$2:$G$13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'by-year'!$J$2:$J$13</c:f>
              <c:numCache>
                <c:formatCode>#,##0</c:formatCode>
                <c:ptCount val="12"/>
                <c:pt idx="0">
                  <c:v>241164</c:v>
                </c:pt>
                <c:pt idx="1">
                  <c:v>238745</c:v>
                </c:pt>
                <c:pt idx="2">
                  <c:v>235994</c:v>
                </c:pt>
                <c:pt idx="3">
                  <c:v>238481</c:v>
                </c:pt>
                <c:pt idx="4">
                  <c:v>236456</c:v>
                </c:pt>
                <c:pt idx="5">
                  <c:v>232796</c:v>
                </c:pt>
                <c:pt idx="6">
                  <c:v>225546</c:v>
                </c:pt>
                <c:pt idx="7">
                  <c:v>218961</c:v>
                </c:pt>
                <c:pt idx="8">
                  <c:v>213088</c:v>
                </c:pt>
                <c:pt idx="9">
                  <c:v>204857</c:v>
                </c:pt>
                <c:pt idx="10">
                  <c:v>191242</c:v>
                </c:pt>
                <c:pt idx="11">
                  <c:v>170200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'by-year'!$K$1</c:f>
              <c:strCache>
                <c:ptCount val="1"/>
                <c:pt idx="0">
                  <c:v>2013</c:v>
                </c:pt>
              </c:strCache>
            </c:strRef>
          </c:tx>
          <c:spPr>
            <a:ln w="50800" cap="flat">
              <a:solidFill>
                <a:srgbClr val="E96727"/>
              </a:solidFill>
              <a:miter lim="800000"/>
            </a:ln>
          </c:spPr>
          <c:marker>
            <c:symbol val="triangle"/>
            <c:size val="15"/>
            <c:spPr>
              <a:solidFill>
                <a:srgbClr val="E96727"/>
              </a:solidFill>
              <a:ln w="25400">
                <a:solidFill>
                  <a:schemeClr val="bg1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b="1">
                    <a:solidFill>
                      <a:srgbClr val="E96727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'by-year'!$G$2:$G$13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'by-year'!$K$2:$K$13</c:f>
              <c:numCache>
                <c:formatCode>#,##0</c:formatCode>
                <c:ptCount val="12"/>
                <c:pt idx="0">
                  <c:v>166139</c:v>
                </c:pt>
                <c:pt idx="1">
                  <c:v>167014</c:v>
                </c:pt>
                <c:pt idx="2">
                  <c:v>166802</c:v>
                </c:pt>
                <c:pt idx="3">
                  <c:v>176978</c:v>
                </c:pt>
                <c:pt idx="4">
                  <c:v>184673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69568"/>
        <c:axId val="73891840"/>
      </c:lineChart>
      <c:dateAx>
        <c:axId val="7386956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n-US"/>
          </a:p>
        </c:txPr>
        <c:crossAx val="73891840"/>
        <c:crossesAt val="100"/>
        <c:auto val="1"/>
        <c:lblOffset val="100"/>
        <c:baseTimeUnit val="months"/>
      </c:dateAx>
      <c:valAx>
        <c:axId val="73891840"/>
        <c:scaling>
          <c:orientation val="minMax"/>
          <c:max val="350000"/>
          <c:min val="100000"/>
        </c:scaling>
        <c:delete val="0"/>
        <c:axPos val="l"/>
        <c:majorGridlines/>
        <c:minorGridlines>
          <c:spPr>
            <a:ln>
              <a:prstDash val="sysDot"/>
            </a:ln>
          </c:spPr>
        </c:minorGridlines>
        <c:numFmt formatCode="#,##0,\K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3869568"/>
        <c:crosses val="autoZero"/>
        <c:crossBetween val="between"/>
        <c:majorUnit val="50000"/>
        <c:minorUnit val="10000"/>
      </c:valAx>
    </c:plotArea>
    <c:legend>
      <c:legendPos val="r"/>
      <c:legendEntry>
        <c:idx val="0"/>
        <c:txPr>
          <a:bodyPr/>
          <a:lstStyle/>
          <a:p>
            <a:pPr>
              <a:defRPr sz="18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8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800" b="1"/>
            </a:pPr>
            <a:endParaRPr lang="en-US"/>
          </a:p>
        </c:txPr>
      </c:legendEntry>
      <c:layout>
        <c:manualLayout>
          <c:xMode val="edge"/>
          <c:yMode val="edge"/>
          <c:x val="6.7890754056410735E-2"/>
          <c:y val="0.20616913052282992"/>
          <c:w val="0.32169170840289374"/>
          <c:h val="5.2527745680806544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180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HelveticaNeueLT Pro 55 Roman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Redfin Real-Time Price Tracker</a:t>
            </a:r>
          </a:p>
          <a:p>
            <a:pPr>
              <a:defRPr sz="3200"/>
            </a:pPr>
            <a:r>
              <a:rPr lang="en-US" sz="3200"/>
              <a:t>19-Market Total Sales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'by-year'!$N$1</c:f>
              <c:strCache>
                <c:ptCount val="1"/>
                <c:pt idx="0">
                  <c:v>2010</c:v>
                </c:pt>
              </c:strCache>
            </c:strRef>
          </c:tx>
          <c:spPr>
            <a:ln w="50800" cap="flat">
              <a:solidFill>
                <a:srgbClr val="2A6FA5"/>
              </a:solidFill>
              <a:miter lim="800000"/>
            </a:ln>
          </c:spPr>
          <c:marker>
            <c:symbol val="diamond"/>
            <c:size val="11"/>
            <c:spPr>
              <a:solidFill>
                <a:srgbClr val="2A6FA5"/>
              </a:solidFill>
              <a:ln w="25400">
                <a:solidFill>
                  <a:schemeClr val="bg1"/>
                </a:solidFill>
              </a:ln>
            </c:spPr>
          </c:marker>
          <c:cat>
            <c:numRef>
              <c:f>'by-year'!$M$2:$M$13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'by-year'!$N$2:$N$13</c:f>
              <c:numCache>
                <c:formatCode>#,##0</c:formatCode>
                <c:ptCount val="12"/>
                <c:pt idx="0">
                  <c:v>43237</c:v>
                </c:pt>
                <c:pt idx="1">
                  <c:v>43664</c:v>
                </c:pt>
                <c:pt idx="2">
                  <c:v>60969</c:v>
                </c:pt>
                <c:pt idx="3">
                  <c:v>64418</c:v>
                </c:pt>
                <c:pt idx="4">
                  <c:v>67771</c:v>
                </c:pt>
                <c:pt idx="5">
                  <c:v>76431</c:v>
                </c:pt>
                <c:pt idx="6">
                  <c:v>56583</c:v>
                </c:pt>
                <c:pt idx="7">
                  <c:v>55697</c:v>
                </c:pt>
                <c:pt idx="8">
                  <c:v>53140</c:v>
                </c:pt>
                <c:pt idx="9">
                  <c:v>50071</c:v>
                </c:pt>
                <c:pt idx="10">
                  <c:v>49295</c:v>
                </c:pt>
                <c:pt idx="11">
                  <c:v>57077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'by-year'!$O$1</c:f>
              <c:strCache>
                <c:ptCount val="1"/>
                <c:pt idx="0">
                  <c:v>2011</c:v>
                </c:pt>
              </c:strCache>
            </c:strRef>
          </c:tx>
          <c:spPr>
            <a:ln w="50800" cap="flat">
              <a:solidFill>
                <a:srgbClr val="A02021"/>
              </a:solidFill>
              <a:miter lim="800000"/>
            </a:ln>
          </c:spPr>
          <c:marker>
            <c:symbol val="circle"/>
            <c:size val="9"/>
            <c:spPr>
              <a:solidFill>
                <a:srgbClr val="A02021"/>
              </a:solidFill>
              <a:ln w="25400">
                <a:solidFill>
                  <a:schemeClr val="bg1"/>
                </a:solidFill>
              </a:ln>
            </c:spPr>
          </c:marker>
          <c:cat>
            <c:numRef>
              <c:f>'by-year'!$M$2:$M$13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'by-year'!$O$2:$O$13</c:f>
              <c:numCache>
                <c:formatCode>#,##0</c:formatCode>
                <c:ptCount val="12"/>
                <c:pt idx="0">
                  <c:v>42809</c:v>
                </c:pt>
                <c:pt idx="1">
                  <c:v>42691</c:v>
                </c:pt>
                <c:pt idx="2">
                  <c:v>58477</c:v>
                </c:pt>
                <c:pt idx="3">
                  <c:v>57259</c:v>
                </c:pt>
                <c:pt idx="4">
                  <c:v>59838</c:v>
                </c:pt>
                <c:pt idx="5">
                  <c:v>66000</c:v>
                </c:pt>
                <c:pt idx="6">
                  <c:v>58958</c:v>
                </c:pt>
                <c:pt idx="7">
                  <c:v>63233</c:v>
                </c:pt>
                <c:pt idx="8">
                  <c:v>56305</c:v>
                </c:pt>
                <c:pt idx="9">
                  <c:v>51951</c:v>
                </c:pt>
                <c:pt idx="10">
                  <c:v>50051</c:v>
                </c:pt>
                <c:pt idx="11">
                  <c:v>54177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'by-year'!$P$1</c:f>
              <c:strCache>
                <c:ptCount val="1"/>
                <c:pt idx="0">
                  <c:v>2012</c:v>
                </c:pt>
              </c:strCache>
            </c:strRef>
          </c:tx>
          <c:spPr>
            <a:ln w="50800" cap="flat">
              <a:solidFill>
                <a:srgbClr val="BBCC39"/>
              </a:solidFill>
              <a:miter lim="800000"/>
            </a:ln>
          </c:spPr>
          <c:marker>
            <c:symbol val="square"/>
            <c:size val="9"/>
            <c:spPr>
              <a:solidFill>
                <a:srgbClr val="BBCC39"/>
              </a:solidFill>
              <a:ln w="25400">
                <a:solidFill>
                  <a:schemeClr val="bg1"/>
                </a:solidFill>
              </a:ln>
            </c:spPr>
          </c:marker>
          <c:cat>
            <c:numRef>
              <c:f>'by-year'!$M$2:$M$13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'by-year'!$P$2:$P$13</c:f>
              <c:numCache>
                <c:formatCode>#,##0</c:formatCode>
                <c:ptCount val="12"/>
                <c:pt idx="0">
                  <c:v>42356</c:v>
                </c:pt>
                <c:pt idx="1">
                  <c:v>46828</c:v>
                </c:pt>
                <c:pt idx="2">
                  <c:v>59428</c:v>
                </c:pt>
                <c:pt idx="3">
                  <c:v>59468</c:v>
                </c:pt>
                <c:pt idx="4">
                  <c:v>69608</c:v>
                </c:pt>
                <c:pt idx="5">
                  <c:v>71927</c:v>
                </c:pt>
                <c:pt idx="6">
                  <c:v>65764</c:v>
                </c:pt>
                <c:pt idx="7">
                  <c:v>70523</c:v>
                </c:pt>
                <c:pt idx="8">
                  <c:v>57670</c:v>
                </c:pt>
                <c:pt idx="9">
                  <c:v>63300.627865269584</c:v>
                </c:pt>
                <c:pt idx="10">
                  <c:v>58389</c:v>
                </c:pt>
                <c:pt idx="11">
                  <c:v>59279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'by-year'!$Q$1</c:f>
              <c:strCache>
                <c:ptCount val="1"/>
                <c:pt idx="0">
                  <c:v>2013</c:v>
                </c:pt>
              </c:strCache>
            </c:strRef>
          </c:tx>
          <c:spPr>
            <a:ln w="50800" cap="flat">
              <a:solidFill>
                <a:srgbClr val="E96727"/>
              </a:solidFill>
              <a:miter lim="800000"/>
            </a:ln>
          </c:spPr>
          <c:marker>
            <c:symbol val="triangle"/>
            <c:size val="15"/>
            <c:spPr>
              <a:solidFill>
                <a:srgbClr val="E96727"/>
              </a:solidFill>
              <a:ln w="25400">
                <a:solidFill>
                  <a:schemeClr val="bg1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>
                    <a:solidFill>
                      <a:srgbClr val="E96727"/>
                    </a:solidFill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'by-year'!$M$2:$M$13</c:f>
              <c:numCache>
                <c:formatCode>mmmm</c:formatCode>
                <c:ptCount val="1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</c:numCache>
            </c:numRef>
          </c:cat>
          <c:val>
            <c:numRef>
              <c:f>'by-year'!$Q$2:$Q$13</c:f>
              <c:numCache>
                <c:formatCode>#,##0</c:formatCode>
                <c:ptCount val="12"/>
                <c:pt idx="0">
                  <c:v>47574</c:v>
                </c:pt>
                <c:pt idx="1">
                  <c:v>47892.026621402692</c:v>
                </c:pt>
                <c:pt idx="2">
                  <c:v>61420</c:v>
                </c:pt>
                <c:pt idx="3">
                  <c:v>68316</c:v>
                </c:pt>
                <c:pt idx="4">
                  <c:v>79109.729925545704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74144"/>
        <c:axId val="73975680"/>
      </c:lineChart>
      <c:dateAx>
        <c:axId val="7397414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low"/>
        <c:crossAx val="73975680"/>
        <c:crossesAt val="100"/>
        <c:auto val="1"/>
        <c:lblOffset val="100"/>
        <c:baseTimeUnit val="months"/>
      </c:dateAx>
      <c:valAx>
        <c:axId val="73975680"/>
        <c:scaling>
          <c:orientation val="minMax"/>
          <c:max val="80000"/>
          <c:min val="40000"/>
        </c:scaling>
        <c:delete val="0"/>
        <c:axPos val="l"/>
        <c:majorGridlines/>
        <c:minorGridlines>
          <c:spPr>
            <a:ln>
              <a:prstDash val="sysDot"/>
            </a:ln>
          </c:spPr>
        </c:minorGridlines>
        <c:numFmt formatCode="#,##0,\K" sourceLinked="0"/>
        <c:majorTickMark val="out"/>
        <c:minorTickMark val="none"/>
        <c:tickLblPos val="nextTo"/>
        <c:crossAx val="73974144"/>
        <c:crosses val="autoZero"/>
        <c:crossBetween val="between"/>
        <c:majorUnit val="10000"/>
      </c:valAx>
    </c:plotArea>
    <c:legend>
      <c:legendPos val="r"/>
      <c:legendEntry>
        <c:idx val="0"/>
        <c:txPr>
          <a:bodyPr/>
          <a:lstStyle/>
          <a:p>
            <a:pPr>
              <a:defRPr sz="18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8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5.7874059565592696E-2"/>
          <c:y val="0.20415198478405025"/>
          <c:w val="7.7952142459654997E-2"/>
          <c:h val="0.20784796756683779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1">
          <a:latin typeface="HelveticaNeueLT Pro 55 Roman" pitchFamily="34" charset="0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Redfin Real-Time Price Tracker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# of Listings</c:v>
          </c:tx>
          <c:spPr>
            <a:ln w="50800" cap="flat">
              <a:solidFill>
                <a:srgbClr val="A02021"/>
              </a:solidFill>
              <a:miter lim="800000"/>
            </a:ln>
          </c:spPr>
          <c:marker>
            <c:symbol val="none"/>
          </c:marker>
          <c:dLbls>
            <c:dLbl>
              <c:idx val="39"/>
              <c:delete val="1"/>
            </c:dLbl>
            <c:dLbl>
              <c:idx val="4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>
                    <a:solidFill>
                      <a:srgbClr val="A0202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'Median $-SqFt'!$A$2:$A$42</c:f>
              <c:numCache>
                <c:formatCode>mmm\-yy</c:formatCode>
                <c:ptCount val="4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</c:numCache>
            </c:numRef>
          </c:cat>
          <c:val>
            <c:numRef>
              <c:f>Listings!$B$2:$B$43</c:f>
              <c:numCache>
                <c:formatCode>#,##0</c:formatCode>
                <c:ptCount val="42"/>
                <c:pt idx="0">
                  <c:v>272928</c:v>
                </c:pt>
                <c:pt idx="1">
                  <c:v>285530</c:v>
                </c:pt>
                <c:pt idx="2">
                  <c:v>305294</c:v>
                </c:pt>
                <c:pt idx="3">
                  <c:v>317175</c:v>
                </c:pt>
                <c:pt idx="4">
                  <c:v>317979</c:v>
                </c:pt>
                <c:pt idx="5">
                  <c:v>328047</c:v>
                </c:pt>
                <c:pt idx="6">
                  <c:v>330982</c:v>
                </c:pt>
                <c:pt idx="7">
                  <c:v>333788</c:v>
                </c:pt>
                <c:pt idx="8">
                  <c:v>333368</c:v>
                </c:pt>
                <c:pt idx="9">
                  <c:v>319973</c:v>
                </c:pt>
                <c:pt idx="10">
                  <c:v>307641</c:v>
                </c:pt>
                <c:pt idx="11">
                  <c:v>286028</c:v>
                </c:pt>
                <c:pt idx="12">
                  <c:v>285167</c:v>
                </c:pt>
                <c:pt idx="13">
                  <c:v>286593</c:v>
                </c:pt>
                <c:pt idx="14">
                  <c:v>292822</c:v>
                </c:pt>
                <c:pt idx="15">
                  <c:v>298574</c:v>
                </c:pt>
                <c:pt idx="16">
                  <c:v>304680</c:v>
                </c:pt>
                <c:pt idx="17">
                  <c:v>305332</c:v>
                </c:pt>
                <c:pt idx="18">
                  <c:v>297798</c:v>
                </c:pt>
                <c:pt idx="19">
                  <c:v>292038</c:v>
                </c:pt>
                <c:pt idx="20">
                  <c:v>287470</c:v>
                </c:pt>
                <c:pt idx="21">
                  <c:v>276974</c:v>
                </c:pt>
                <c:pt idx="22">
                  <c:v>261922</c:v>
                </c:pt>
                <c:pt idx="23">
                  <c:v>241470</c:v>
                </c:pt>
                <c:pt idx="24">
                  <c:v>241164</c:v>
                </c:pt>
                <c:pt idx="25">
                  <c:v>238745</c:v>
                </c:pt>
                <c:pt idx="26">
                  <c:v>235994</c:v>
                </c:pt>
                <c:pt idx="27">
                  <c:v>238481</c:v>
                </c:pt>
                <c:pt idx="28">
                  <c:v>236456</c:v>
                </c:pt>
                <c:pt idx="29">
                  <c:v>232796</c:v>
                </c:pt>
                <c:pt idx="30">
                  <c:v>225546</c:v>
                </c:pt>
                <c:pt idx="31">
                  <c:v>218961</c:v>
                </c:pt>
                <c:pt idx="32">
                  <c:v>213088</c:v>
                </c:pt>
                <c:pt idx="33">
                  <c:v>204857</c:v>
                </c:pt>
                <c:pt idx="34">
                  <c:v>191242</c:v>
                </c:pt>
                <c:pt idx="35">
                  <c:v>170200</c:v>
                </c:pt>
                <c:pt idx="36">
                  <c:v>166139</c:v>
                </c:pt>
                <c:pt idx="37">
                  <c:v>167014</c:v>
                </c:pt>
                <c:pt idx="38">
                  <c:v>166802</c:v>
                </c:pt>
                <c:pt idx="39">
                  <c:v>176978</c:v>
                </c:pt>
                <c:pt idx="40">
                  <c:v>184673</c:v>
                </c:pt>
                <c:pt idx="41" formatCode="0.0%">
                  <c:v>-0.21899634604323848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'Median $-SqFt'!$B$1</c:f>
              <c:strCache>
                <c:ptCount val="1"/>
                <c:pt idx="0">
                  <c:v>National (Raw)</c:v>
                </c:pt>
              </c:strCache>
            </c:strRef>
          </c:tx>
          <c:cat>
            <c:numRef>
              <c:f>'Median $-SqFt'!$A$2:$A$42</c:f>
              <c:numCache>
                <c:formatCode>mmm\-yy</c:formatCode>
                <c:ptCount val="4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</c:numCache>
            </c:numRef>
          </c:cat>
          <c:val>
            <c:numRef>
              <c:f>'Median $-SqFt'!$B$2:$B$43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65056"/>
        <c:axId val="75170944"/>
      </c:lineChart>
      <c:lineChart>
        <c:grouping val="standard"/>
        <c:varyColors val="0"/>
        <c:ser>
          <c:idx val="1"/>
          <c:order val="1"/>
          <c:tx>
            <c:v>Median $ / Square Foot</c:v>
          </c:tx>
          <c:spPr>
            <a:ln w="50800" cap="flat">
              <a:solidFill>
                <a:srgbClr val="2A6FA5"/>
              </a:solidFill>
              <a:miter lim="800000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4.6917040211375917E-2"/>
                  <c:y val="-1.833601359587994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2A6FA5"/>
                        </a:solidFill>
                      </a:rPr>
                      <a:t>May</a:t>
                    </a:r>
                    <a:r>
                      <a:rPr lang="en-US" baseline="0">
                        <a:solidFill>
                          <a:srgbClr val="2A6FA5"/>
                        </a:solidFill>
                      </a:rPr>
                      <a:t> '</a:t>
                    </a:r>
                    <a:r>
                      <a:rPr lang="en-US">
                        <a:solidFill>
                          <a:srgbClr val="2A6FA5"/>
                        </a:solidFill>
                      </a:rPr>
                      <a:t>10</a:t>
                    </a:r>
                  </a:p>
                  <a:p>
                    <a:r>
                      <a:rPr lang="en-US">
                        <a:solidFill>
                          <a:srgbClr val="2A6FA5"/>
                        </a:solidFill>
                      </a:rPr>
                      <a:t>$186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dLbl>
              <c:idx val="4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>
                    <a:solidFill>
                      <a:srgbClr val="2A6FA5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'Median $-SqFt'!$A$2:$A$42</c:f>
              <c:numCache>
                <c:formatCode>mmm\-yy</c:formatCode>
                <c:ptCount val="4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</c:numCache>
            </c:numRef>
          </c:cat>
          <c:val>
            <c:numRef>
              <c:f>'Median $-SqFt'!$C$2:$C$42</c:f>
              <c:numCache>
                <c:formatCode>"$"#,##0</c:formatCode>
                <c:ptCount val="41"/>
                <c:pt idx="0">
                  <c:v>171.62629381771805</c:v>
                </c:pt>
                <c:pt idx="1">
                  <c:v>170.91567218531728</c:v>
                </c:pt>
                <c:pt idx="2">
                  <c:v>177.33929115035198</c:v>
                </c:pt>
                <c:pt idx="3">
                  <c:v>180.19419643038154</c:v>
                </c:pt>
                <c:pt idx="4">
                  <c:v>185.61343317912235</c:v>
                </c:pt>
                <c:pt idx="5">
                  <c:v>185.54045681038417</c:v>
                </c:pt>
                <c:pt idx="6">
                  <c:v>184.23580728002989</c:v>
                </c:pt>
                <c:pt idx="7">
                  <c:v>181.14954585540704</c:v>
                </c:pt>
                <c:pt idx="8">
                  <c:v>178.70478981200228</c:v>
                </c:pt>
                <c:pt idx="9">
                  <c:v>177.13374076087527</c:v>
                </c:pt>
                <c:pt idx="10">
                  <c:v>176.38432256755044</c:v>
                </c:pt>
                <c:pt idx="11">
                  <c:v>172.95315051946454</c:v>
                </c:pt>
                <c:pt idx="12">
                  <c:v>166.32615859807322</c:v>
                </c:pt>
                <c:pt idx="13">
                  <c:v>164.61016047621487</c:v>
                </c:pt>
                <c:pt idx="14">
                  <c:v>168.680358828875</c:v>
                </c:pt>
                <c:pt idx="15">
                  <c:v>171.56250039190991</c:v>
                </c:pt>
                <c:pt idx="16">
                  <c:v>173.67849962791698</c:v>
                </c:pt>
                <c:pt idx="17">
                  <c:v>176.77644821027747</c:v>
                </c:pt>
                <c:pt idx="18">
                  <c:v>176.00093558392931</c:v>
                </c:pt>
                <c:pt idx="19">
                  <c:v>173.19560589180068</c:v>
                </c:pt>
                <c:pt idx="20">
                  <c:v>170.65561768848539</c:v>
                </c:pt>
                <c:pt idx="21">
                  <c:v>166.25464566524096</c:v>
                </c:pt>
                <c:pt idx="22">
                  <c:v>167.37710805476922</c:v>
                </c:pt>
                <c:pt idx="23">
                  <c:v>164.47139382302916</c:v>
                </c:pt>
                <c:pt idx="24">
                  <c:v>160.87688523032872</c:v>
                </c:pt>
                <c:pt idx="25">
                  <c:v>160.37804025937277</c:v>
                </c:pt>
                <c:pt idx="26">
                  <c:v>167.13294887845018</c:v>
                </c:pt>
                <c:pt idx="27">
                  <c:v>172.7882320594085</c:v>
                </c:pt>
                <c:pt idx="28">
                  <c:v>177.50241678066394</c:v>
                </c:pt>
                <c:pt idx="29">
                  <c:v>181.80837294320276</c:v>
                </c:pt>
                <c:pt idx="30">
                  <c:v>181.52836639616723</c:v>
                </c:pt>
                <c:pt idx="31">
                  <c:v>181.47747734328618</c:v>
                </c:pt>
                <c:pt idx="32">
                  <c:v>179.5118490934087</c:v>
                </c:pt>
                <c:pt idx="33">
                  <c:v>180.22942306121982</c:v>
                </c:pt>
                <c:pt idx="34">
                  <c:v>183.66727284621453</c:v>
                </c:pt>
                <c:pt idx="35">
                  <c:v>181.81324164433082</c:v>
                </c:pt>
                <c:pt idx="36">
                  <c:v>177.34392548928309</c:v>
                </c:pt>
                <c:pt idx="37">
                  <c:v>181.10703108271213</c:v>
                </c:pt>
                <c:pt idx="38">
                  <c:v>191.36783482661303</c:v>
                </c:pt>
                <c:pt idx="39">
                  <c:v>199.89730975363611</c:v>
                </c:pt>
                <c:pt idx="40">
                  <c:v>208.4227762165448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86560"/>
        <c:axId val="75172480"/>
      </c:lineChart>
      <c:dateAx>
        <c:axId val="75165056"/>
        <c:scaling>
          <c:orientation val="minMax"/>
          <c:max val="41426"/>
        </c:scaling>
        <c:delete val="0"/>
        <c:axPos val="b"/>
        <c:majorGridlines>
          <c:spPr>
            <a:ln>
              <a:prstDash val="sysDot"/>
            </a:ln>
          </c:spPr>
        </c:majorGridlines>
        <c:minorGridlines>
          <c:spPr>
            <a:ln>
              <a:prstDash val="sysDot"/>
            </a:ln>
          </c:spPr>
        </c:minorGridlines>
        <c:numFmt formatCode="yyyy" sourceLinked="0"/>
        <c:majorTickMark val="out"/>
        <c:minorTickMark val="none"/>
        <c:tickLblPos val="nextTo"/>
        <c:crossAx val="75170944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75170944"/>
        <c:scaling>
          <c:orientation val="minMax"/>
          <c:max val="500000"/>
          <c:min val="0"/>
        </c:scaling>
        <c:delete val="0"/>
        <c:axPos val="l"/>
        <c:majorGridlines/>
        <c:minorGridlines>
          <c:spPr>
            <a:ln>
              <a:prstDash val="sysDot"/>
            </a:ln>
          </c:spPr>
        </c:minorGridlines>
        <c:numFmt formatCode="#,##0,\K" sourceLinked="0"/>
        <c:majorTickMark val="out"/>
        <c:minorTickMark val="none"/>
        <c:tickLblPos val="nextTo"/>
        <c:crossAx val="75165056"/>
        <c:crosses val="autoZero"/>
        <c:crossBetween val="between"/>
        <c:majorUnit val="100000"/>
        <c:minorUnit val="50000"/>
      </c:valAx>
      <c:valAx>
        <c:axId val="75172480"/>
        <c:scaling>
          <c:orientation val="minMax"/>
          <c:max val="210"/>
          <c:min val="160"/>
        </c:scaling>
        <c:delete val="0"/>
        <c:axPos val="r"/>
        <c:numFmt formatCode="&quot;$&quot;#,##0" sourceLinked="1"/>
        <c:majorTickMark val="out"/>
        <c:minorTickMark val="none"/>
        <c:tickLblPos val="nextTo"/>
        <c:crossAx val="75186560"/>
        <c:crosses val="max"/>
        <c:crossBetween val="between"/>
        <c:majorUnit val="10"/>
      </c:valAx>
      <c:dateAx>
        <c:axId val="751865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7517248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7.0154193997870429E-2"/>
          <c:y val="0.12933843178831089"/>
          <c:w val="0.26998356841454918"/>
          <c:h val="0.11197255411152275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1">
          <a:latin typeface="HelveticaNeueLT Pro 55 Roman" pitchFamily="34" charset="0"/>
          <a:cs typeface="Arial" pitchFamily="34" charset="0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Redfin Real-Time Price Tracker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Median $ / Square Foot</c:v>
          </c:tx>
          <c:spPr>
            <a:ln w="50800" cap="flat">
              <a:solidFill>
                <a:srgbClr val="2A6FA5"/>
              </a:solidFill>
              <a:miter lim="800000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9.8881512932753185E-2"/>
                  <c:y val="-7.8850226928895609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rgbClr val="2A6FA5"/>
                        </a:solidFill>
                      </a:defRPr>
                    </a:pPr>
                    <a:r>
                      <a:rPr lang="en-US">
                        <a:solidFill>
                          <a:srgbClr val="2A6FA5"/>
                        </a:solidFill>
                      </a:rPr>
                      <a:t>May</a:t>
                    </a:r>
                    <a:r>
                      <a:rPr lang="en-US" baseline="0">
                        <a:solidFill>
                          <a:srgbClr val="2A6FA5"/>
                        </a:solidFill>
                      </a:rPr>
                      <a:t> '</a:t>
                    </a:r>
                    <a:r>
                      <a:rPr lang="en-US">
                        <a:solidFill>
                          <a:srgbClr val="2A6FA5"/>
                        </a:solidFill>
                      </a:rPr>
                      <a:t>10</a:t>
                    </a:r>
                  </a:p>
                  <a:p>
                    <a:pPr>
                      <a:defRPr>
                        <a:solidFill>
                          <a:srgbClr val="2A6FA5"/>
                        </a:solidFill>
                      </a:defRPr>
                    </a:pPr>
                    <a:r>
                      <a:rPr lang="en-US">
                        <a:solidFill>
                          <a:srgbClr val="2A6FA5"/>
                        </a:solidFill>
                      </a:rPr>
                      <a:t>$186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'Median $-SqFt'!$A$2:$A$42</c:f>
              <c:numCache>
                <c:formatCode>mmm\-yy</c:formatCode>
                <c:ptCount val="4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</c:numCache>
            </c:numRef>
          </c:cat>
          <c:val>
            <c:numRef>
              <c:f>'Median $-SqFt'!$C$2:$C$43</c:f>
              <c:numCache>
                <c:formatCode>"$"#,##0</c:formatCode>
                <c:ptCount val="42"/>
                <c:pt idx="0">
                  <c:v>171.62629381771805</c:v>
                </c:pt>
                <c:pt idx="1">
                  <c:v>170.91567218531728</c:v>
                </c:pt>
                <c:pt idx="2">
                  <c:v>177.33929115035198</c:v>
                </c:pt>
                <c:pt idx="3">
                  <c:v>180.19419643038154</c:v>
                </c:pt>
                <c:pt idx="4">
                  <c:v>185.61343317912235</c:v>
                </c:pt>
                <c:pt idx="5">
                  <c:v>185.54045681038417</c:v>
                </c:pt>
                <c:pt idx="6">
                  <c:v>184.23580728002989</c:v>
                </c:pt>
                <c:pt idx="7">
                  <c:v>181.14954585540704</c:v>
                </c:pt>
                <c:pt idx="8">
                  <c:v>178.70478981200228</c:v>
                </c:pt>
                <c:pt idx="9">
                  <c:v>177.13374076087527</c:v>
                </c:pt>
                <c:pt idx="10">
                  <c:v>176.38432256755044</c:v>
                </c:pt>
                <c:pt idx="11">
                  <c:v>172.95315051946454</c:v>
                </c:pt>
                <c:pt idx="12">
                  <c:v>166.32615859807322</c:v>
                </c:pt>
                <c:pt idx="13">
                  <c:v>164.61016047621487</c:v>
                </c:pt>
                <c:pt idx="14">
                  <c:v>168.680358828875</c:v>
                </c:pt>
                <c:pt idx="15">
                  <c:v>171.56250039190991</c:v>
                </c:pt>
                <c:pt idx="16">
                  <c:v>173.67849962791698</c:v>
                </c:pt>
                <c:pt idx="17">
                  <c:v>176.77644821027747</c:v>
                </c:pt>
                <c:pt idx="18">
                  <c:v>176.00093558392931</c:v>
                </c:pt>
                <c:pt idx="19">
                  <c:v>173.19560589180068</c:v>
                </c:pt>
                <c:pt idx="20">
                  <c:v>170.65561768848539</c:v>
                </c:pt>
                <c:pt idx="21">
                  <c:v>166.25464566524096</c:v>
                </c:pt>
                <c:pt idx="22">
                  <c:v>167.37710805476922</c:v>
                </c:pt>
                <c:pt idx="23">
                  <c:v>164.47139382302916</c:v>
                </c:pt>
                <c:pt idx="24">
                  <c:v>160.87688523032872</c:v>
                </c:pt>
                <c:pt idx="25">
                  <c:v>160.37804025937277</c:v>
                </c:pt>
                <c:pt idx="26">
                  <c:v>167.13294887845018</c:v>
                </c:pt>
                <c:pt idx="27">
                  <c:v>172.7882320594085</c:v>
                </c:pt>
                <c:pt idx="28">
                  <c:v>177.50241678066394</c:v>
                </c:pt>
                <c:pt idx="29">
                  <c:v>181.80837294320276</c:v>
                </c:pt>
                <c:pt idx="30">
                  <c:v>181.52836639616723</c:v>
                </c:pt>
                <c:pt idx="31">
                  <c:v>181.47747734328618</c:v>
                </c:pt>
                <c:pt idx="32">
                  <c:v>179.5118490934087</c:v>
                </c:pt>
                <c:pt idx="33">
                  <c:v>180.22942306121982</c:v>
                </c:pt>
                <c:pt idx="34">
                  <c:v>183.66727284621453</c:v>
                </c:pt>
                <c:pt idx="35">
                  <c:v>181.81324164433082</c:v>
                </c:pt>
                <c:pt idx="36">
                  <c:v>177.34392548928309</c:v>
                </c:pt>
                <c:pt idx="37">
                  <c:v>181.10703108271213</c:v>
                </c:pt>
                <c:pt idx="38">
                  <c:v>191.36783482661303</c:v>
                </c:pt>
                <c:pt idx="39">
                  <c:v>199.89730975363611</c:v>
                </c:pt>
                <c:pt idx="40">
                  <c:v>208.4227762165448</c:v>
                </c:pt>
                <c:pt idx="41" formatCode="0.0%">
                  <c:v>0.17419683628357863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54784"/>
        <c:axId val="75260672"/>
      </c:lineChart>
      <c:dateAx>
        <c:axId val="75254784"/>
        <c:scaling>
          <c:orientation val="minMax"/>
          <c:max val="41426"/>
        </c:scaling>
        <c:delete val="0"/>
        <c:axPos val="b"/>
        <c:majorGridlines>
          <c:spPr>
            <a:ln>
              <a:prstDash val="sysDot"/>
            </a:ln>
          </c:spPr>
        </c:majorGridlines>
        <c:minorGridlines>
          <c:spPr>
            <a:ln>
              <a:prstDash val="sysDot"/>
            </a:ln>
          </c:spPr>
        </c:minorGridlines>
        <c:numFmt formatCode="yyyy" sourceLinked="0"/>
        <c:majorTickMark val="out"/>
        <c:minorTickMark val="none"/>
        <c:tickLblPos val="nextTo"/>
        <c:crossAx val="75260672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75260672"/>
        <c:scaling>
          <c:orientation val="minMax"/>
          <c:max val="210"/>
          <c:min val="150"/>
        </c:scaling>
        <c:delete val="0"/>
        <c:axPos val="l"/>
        <c:majorGridlines/>
        <c:minorGridlines>
          <c:spPr>
            <a:ln>
              <a:prstDash val="sysDot"/>
            </a:ln>
          </c:spPr>
        </c:minorGridlines>
        <c:numFmt formatCode="&quot;$&quot;#,##0_);[Red]\(&quot;$&quot;#,##0\)" sourceLinked="0"/>
        <c:majorTickMark val="out"/>
        <c:minorTickMark val="none"/>
        <c:tickLblPos val="nextTo"/>
        <c:crossAx val="75254784"/>
        <c:crosses val="autoZero"/>
        <c:crossBetween val="between"/>
        <c:majorUnit val="10"/>
        <c:minorUnit val="2"/>
      </c:valAx>
    </c:plotArea>
    <c:legend>
      <c:legendPos val="r"/>
      <c:layout>
        <c:manualLayout>
          <c:xMode val="edge"/>
          <c:yMode val="edge"/>
          <c:x val="7.0154193997870429E-2"/>
          <c:y val="0.12933843178831089"/>
          <c:w val="0.26887060236001387"/>
          <c:h val="7.1629639335930209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1">
          <a:latin typeface="HelveticaNeueLT Pro 55 Roman" pitchFamily="34" charset="0"/>
          <a:cs typeface="Arial" pitchFamily="34" charset="0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Redfin Real-Time Price Tracker: Listings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# of Listings</c:v>
          </c:tx>
          <c:spPr>
            <a:ln w="50800" cap="flat">
              <a:solidFill>
                <a:srgbClr val="A02021"/>
              </a:solidFill>
              <a:miter lim="800000"/>
            </a:ln>
          </c:spPr>
          <c:marker>
            <c:symbol val="none"/>
          </c:marker>
          <c:dLbls>
            <c:dLbl>
              <c:idx val="36"/>
              <c:layout/>
              <c:tx>
                <c:rich>
                  <a:bodyPr/>
                  <a:lstStyle/>
                  <a:p>
                    <a:r>
                      <a:rPr lang="en-US"/>
                      <a:t>Jan-13</a:t>
                    </a:r>
                  </a:p>
                  <a:p>
                    <a:r>
                      <a:rPr lang="en-US"/>
                      <a:t>165,168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9"/>
              <c:delete val="1"/>
            </c:dLbl>
            <c:dLbl>
              <c:idx val="40"/>
              <c:layout/>
              <c:tx>
                <c:rich>
                  <a:bodyPr/>
                  <a:lstStyle/>
                  <a:p>
                    <a:r>
                      <a:rPr lang="en-US"/>
                      <a:t>May-13</a:t>
                    </a:r>
                  </a:p>
                  <a:p>
                    <a:r>
                      <a:rPr lang="en-US"/>
                      <a:t>183,459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>
                    <a:solidFill>
                      <a:srgbClr val="A0202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Listings!$A$2:$A$42</c:f>
              <c:numCache>
                <c:formatCode>mmm\-yy</c:formatCode>
                <c:ptCount val="4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</c:numCache>
            </c:numRef>
          </c:cat>
          <c:val>
            <c:numRef>
              <c:f>Listings!$B$2:$B$42</c:f>
              <c:numCache>
                <c:formatCode>#,##0</c:formatCode>
                <c:ptCount val="41"/>
                <c:pt idx="0">
                  <c:v>272928</c:v>
                </c:pt>
                <c:pt idx="1">
                  <c:v>285530</c:v>
                </c:pt>
                <c:pt idx="2">
                  <c:v>305294</c:v>
                </c:pt>
                <c:pt idx="3">
                  <c:v>317175</c:v>
                </c:pt>
                <c:pt idx="4">
                  <c:v>317979</c:v>
                </c:pt>
                <c:pt idx="5">
                  <c:v>328047</c:v>
                </c:pt>
                <c:pt idx="6">
                  <c:v>330982</c:v>
                </c:pt>
                <c:pt idx="7">
                  <c:v>333788</c:v>
                </c:pt>
                <c:pt idx="8">
                  <c:v>333368</c:v>
                </c:pt>
                <c:pt idx="9">
                  <c:v>319973</c:v>
                </c:pt>
                <c:pt idx="10">
                  <c:v>307641</c:v>
                </c:pt>
                <c:pt idx="11">
                  <c:v>286028</c:v>
                </c:pt>
                <c:pt idx="12">
                  <c:v>285167</c:v>
                </c:pt>
                <c:pt idx="13">
                  <c:v>286593</c:v>
                </c:pt>
                <c:pt idx="14">
                  <c:v>292822</c:v>
                </c:pt>
                <c:pt idx="15">
                  <c:v>298574</c:v>
                </c:pt>
                <c:pt idx="16">
                  <c:v>304680</c:v>
                </c:pt>
                <c:pt idx="17">
                  <c:v>305332</c:v>
                </c:pt>
                <c:pt idx="18">
                  <c:v>297798</c:v>
                </c:pt>
                <c:pt idx="19">
                  <c:v>292038</c:v>
                </c:pt>
                <c:pt idx="20">
                  <c:v>287470</c:v>
                </c:pt>
                <c:pt idx="21">
                  <c:v>276974</c:v>
                </c:pt>
                <c:pt idx="22">
                  <c:v>261922</c:v>
                </c:pt>
                <c:pt idx="23">
                  <c:v>241470</c:v>
                </c:pt>
                <c:pt idx="24">
                  <c:v>241164</c:v>
                </c:pt>
                <c:pt idx="25">
                  <c:v>238745</c:v>
                </c:pt>
                <c:pt idx="26">
                  <c:v>235994</c:v>
                </c:pt>
                <c:pt idx="27">
                  <c:v>238481</c:v>
                </c:pt>
                <c:pt idx="28">
                  <c:v>236456</c:v>
                </c:pt>
                <c:pt idx="29">
                  <c:v>232796</c:v>
                </c:pt>
                <c:pt idx="30">
                  <c:v>225546</c:v>
                </c:pt>
                <c:pt idx="31">
                  <c:v>218961</c:v>
                </c:pt>
                <c:pt idx="32">
                  <c:v>213088</c:v>
                </c:pt>
                <c:pt idx="33">
                  <c:v>204857</c:v>
                </c:pt>
                <c:pt idx="34">
                  <c:v>191242</c:v>
                </c:pt>
                <c:pt idx="35">
                  <c:v>170200</c:v>
                </c:pt>
                <c:pt idx="36">
                  <c:v>166139</c:v>
                </c:pt>
                <c:pt idx="37">
                  <c:v>167014</c:v>
                </c:pt>
                <c:pt idx="38">
                  <c:v>166802</c:v>
                </c:pt>
                <c:pt idx="39">
                  <c:v>176978</c:v>
                </c:pt>
                <c:pt idx="40">
                  <c:v>184673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'Median $-SqFt'!$B$1</c:f>
              <c:strCache>
                <c:ptCount val="1"/>
                <c:pt idx="0">
                  <c:v>National (Raw)</c:v>
                </c:pt>
              </c:strCache>
            </c:strRef>
          </c:tx>
          <c:cat>
            <c:numRef>
              <c:f>Listings!$A$2:$A$42</c:f>
              <c:numCache>
                <c:formatCode>mmm\-yy</c:formatCode>
                <c:ptCount val="4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</c:numCache>
            </c:numRef>
          </c:cat>
          <c:val>
            <c:numRef>
              <c:f>'Median $-SqFt'!$B$2:$B$43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82688"/>
        <c:axId val="75329536"/>
      </c:lineChart>
      <c:dateAx>
        <c:axId val="75282688"/>
        <c:scaling>
          <c:orientation val="minMax"/>
          <c:max val="41426"/>
        </c:scaling>
        <c:delete val="0"/>
        <c:axPos val="b"/>
        <c:majorGridlines>
          <c:spPr>
            <a:ln>
              <a:prstDash val="sysDot"/>
            </a:ln>
          </c:spPr>
        </c:majorGridlines>
        <c:minorGridlines>
          <c:spPr>
            <a:ln>
              <a:prstDash val="sysDot"/>
            </a:ln>
          </c:spPr>
        </c:minorGridlines>
        <c:numFmt formatCode="yyyy" sourceLinked="0"/>
        <c:majorTickMark val="out"/>
        <c:minorTickMark val="none"/>
        <c:tickLblPos val="nextTo"/>
        <c:crossAx val="75329536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75329536"/>
        <c:scaling>
          <c:orientation val="minMax"/>
          <c:max val="400000"/>
          <c:min val="0"/>
        </c:scaling>
        <c:delete val="0"/>
        <c:axPos val="l"/>
        <c:majorGridlines/>
        <c:minorGridlines>
          <c:spPr>
            <a:ln>
              <a:prstDash val="sysDot"/>
            </a:ln>
          </c:spPr>
        </c:minorGridlines>
        <c:numFmt formatCode="#,##0,\K" sourceLinked="0"/>
        <c:majorTickMark val="out"/>
        <c:minorTickMark val="none"/>
        <c:tickLblPos val="nextTo"/>
        <c:crossAx val="75282688"/>
        <c:crosses val="autoZero"/>
        <c:crossBetween val="between"/>
        <c:majorUnit val="100000"/>
        <c:minorUnit val="50000"/>
      </c:valAx>
    </c:plotArea>
    <c:legend>
      <c:legendPos val="r"/>
      <c:layout>
        <c:manualLayout>
          <c:xMode val="edge"/>
          <c:yMode val="edge"/>
          <c:x val="7.0154193997870429E-2"/>
          <c:y val="0.1374070147434294"/>
          <c:w val="0.15979992901555085"/>
          <c:h val="8.1715368029828345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1">
          <a:latin typeface="HelveticaNeueLT Pro 55 Roman" pitchFamily="34" charset="0"/>
          <a:cs typeface="Arial" pitchFamily="34" charset="0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Percentage of Single-Family Listings</a:t>
            </a:r>
            <a:br>
              <a:rPr lang="en-US" sz="3200"/>
            </a:br>
            <a:r>
              <a:rPr lang="en-US" sz="3200"/>
              <a:t>Under Contract in 14 Days or Less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Pending in 2 Weeks or Less</c:v>
          </c:tx>
          <c:spPr>
            <a:ln w="50800" cap="flat">
              <a:solidFill>
                <a:srgbClr val="2A6FA5"/>
              </a:solidFill>
              <a:miter lim="800000"/>
            </a:ln>
          </c:spPr>
          <c:marker>
            <c:symbol val="none"/>
          </c:marker>
          <c:dLbls>
            <c:dLbl>
              <c:idx val="40"/>
              <c:layout/>
              <c:tx>
                <c:rich>
                  <a:bodyPr/>
                  <a:lstStyle/>
                  <a:p>
                    <a:r>
                      <a:rPr lang="en-US"/>
                      <a:t>May</a:t>
                    </a:r>
                    <a:r>
                      <a:rPr lang="en-US" baseline="0"/>
                      <a:t> '13</a:t>
                    </a:r>
                    <a:endParaRPr lang="en-US"/>
                  </a:p>
                  <a:p>
                    <a:r>
                      <a:rPr lang="en-US"/>
                      <a:t>33.1%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>
                    <a:solidFill>
                      <a:srgbClr val="2A6FA5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'Median $-SqFt'!$A$2:$A$42</c:f>
              <c:numCache>
                <c:formatCode>mmm\-yy</c:formatCode>
                <c:ptCount val="4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</c:numCache>
            </c:numRef>
          </c:cat>
          <c:val>
            <c:numRef>
              <c:f>'&lt;2wk%'!$B$2:$B$43</c:f>
              <c:numCache>
                <c:formatCode>0.0%</c:formatCode>
                <c:ptCount val="42"/>
                <c:pt idx="0">
                  <c:v>0.202031251675729</c:v>
                </c:pt>
                <c:pt idx="1">
                  <c:v>0.18363176552938787</c:v>
                </c:pt>
                <c:pt idx="2">
                  <c:v>0.21375818939845145</c:v>
                </c:pt>
                <c:pt idx="3">
                  <c:v>0.18860336178826015</c:v>
                </c:pt>
                <c:pt idx="4">
                  <c:v>0.15085526527719614</c:v>
                </c:pt>
                <c:pt idx="5">
                  <c:v>0.1377745489286745</c:v>
                </c:pt>
                <c:pt idx="6">
                  <c:v>0.13213477747302249</c:v>
                </c:pt>
                <c:pt idx="7">
                  <c:v>0.12532188841201716</c:v>
                </c:pt>
                <c:pt idx="8">
                  <c:v>0.12702870077731271</c:v>
                </c:pt>
                <c:pt idx="9">
                  <c:v>0.13262556145365456</c:v>
                </c:pt>
                <c:pt idx="10">
                  <c:v>0.13132897852069486</c:v>
                </c:pt>
                <c:pt idx="11">
                  <c:v>0.12382021406099315</c:v>
                </c:pt>
                <c:pt idx="12">
                  <c:v>0.13842450908853288</c:v>
                </c:pt>
                <c:pt idx="13">
                  <c:v>0.17302733064069806</c:v>
                </c:pt>
                <c:pt idx="14">
                  <c:v>0.16886417488343652</c:v>
                </c:pt>
                <c:pt idx="15">
                  <c:v>0.17183427427064779</c:v>
                </c:pt>
                <c:pt idx="16">
                  <c:v>0.16942265137799237</c:v>
                </c:pt>
                <c:pt idx="17">
                  <c:v>0.16331246891062842</c:v>
                </c:pt>
                <c:pt idx="18">
                  <c:v>0.1695703341332841</c:v>
                </c:pt>
                <c:pt idx="19">
                  <c:v>0.16896190143306536</c:v>
                </c:pt>
                <c:pt idx="20">
                  <c:v>0.16758865948829399</c:v>
                </c:pt>
                <c:pt idx="21">
                  <c:v>0.17382859271479126</c:v>
                </c:pt>
                <c:pt idx="22">
                  <c:v>0.17272755747666479</c:v>
                </c:pt>
                <c:pt idx="23">
                  <c:v>0.1721311475409836</c:v>
                </c:pt>
                <c:pt idx="24">
                  <c:v>0.20716614069947142</c:v>
                </c:pt>
                <c:pt idx="25">
                  <c:v>0.23920832167925307</c:v>
                </c:pt>
                <c:pt idx="26">
                  <c:v>0.27254013045288428</c:v>
                </c:pt>
                <c:pt idx="27">
                  <c:v>0.28352093206951029</c:v>
                </c:pt>
                <c:pt idx="28">
                  <c:v>0.28424090914580391</c:v>
                </c:pt>
                <c:pt idx="29">
                  <c:v>0.26727205646073099</c:v>
                </c:pt>
                <c:pt idx="30">
                  <c:v>0.26709006928406465</c:v>
                </c:pt>
                <c:pt idx="31">
                  <c:v>0.26353589763042762</c:v>
                </c:pt>
                <c:pt idx="32">
                  <c:v>0.26274418349429324</c:v>
                </c:pt>
                <c:pt idx="33">
                  <c:v>0.27595309547626989</c:v>
                </c:pt>
                <c:pt idx="34">
                  <c:v>0.27416863448324841</c:v>
                </c:pt>
                <c:pt idx="35">
                  <c:v>0.26235889451148309</c:v>
                </c:pt>
                <c:pt idx="36">
                  <c:v>0.29867087051473035</c:v>
                </c:pt>
                <c:pt idx="37">
                  <c:v>0.33177034041698933</c:v>
                </c:pt>
                <c:pt idx="38">
                  <c:v>0.35919358510611388</c:v>
                </c:pt>
                <c:pt idx="39">
                  <c:v>0.34092939655444254</c:v>
                </c:pt>
                <c:pt idx="40">
                  <c:v>0.33100868725868726</c:v>
                </c:pt>
                <c:pt idx="41">
                  <c:v>4.6767778112883351E-2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3424"/>
        <c:axId val="83864960"/>
      </c:lineChart>
      <c:dateAx>
        <c:axId val="83863424"/>
        <c:scaling>
          <c:orientation val="minMax"/>
          <c:max val="41426"/>
        </c:scaling>
        <c:delete val="0"/>
        <c:axPos val="b"/>
        <c:majorGridlines>
          <c:spPr>
            <a:ln>
              <a:prstDash val="dash"/>
            </a:ln>
          </c:spPr>
        </c:majorGridlines>
        <c:minorGridlines>
          <c:spPr>
            <a:ln>
              <a:prstDash val="sysDot"/>
            </a:ln>
          </c:spPr>
        </c:minorGridlines>
        <c:numFmt formatCode="yyyy" sourceLinked="0"/>
        <c:majorTickMark val="out"/>
        <c:minorTickMark val="none"/>
        <c:tickLblPos val="nextTo"/>
        <c:crossAx val="83864960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83864960"/>
        <c:scaling>
          <c:orientation val="minMax"/>
          <c:max val="0.4"/>
          <c:min val="0"/>
        </c:scaling>
        <c:delete val="0"/>
        <c:axPos val="l"/>
        <c:majorGridlines/>
        <c:minorGridlines>
          <c:spPr>
            <a:ln>
              <a:prstDash val="sysDot"/>
            </a:ln>
          </c:spPr>
        </c:minorGridlines>
        <c:numFmt formatCode="0%" sourceLinked="0"/>
        <c:majorTickMark val="out"/>
        <c:minorTickMark val="none"/>
        <c:tickLblPos val="nextTo"/>
        <c:crossAx val="83863424"/>
        <c:crosses val="autoZero"/>
        <c:crossBetween val="between"/>
        <c:majorUnit val="0.1"/>
        <c:minorUnit val="5.000000000000001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 b="1">
          <a:latin typeface="HelveticaNeueLT Pro 55 Roman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5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5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5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5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5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5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5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4109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0.80879</cdr:x>
      <cdr:y>0.83056</cdr:y>
    </cdr:from>
    <cdr:to>
      <cdr:x>0.98748</cdr:x>
      <cdr:y>0.92587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229054" y="5229227"/>
          <a:ext cx="2039023" cy="6000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</cdr:pic>
  </cdr:relSizeAnchor>
  <cdr:relSizeAnchor xmlns:cdr="http://schemas.openxmlformats.org/drawingml/2006/chartDrawing">
    <cdr:from>
      <cdr:x>0.12855</cdr:x>
      <cdr:y>0.40393</cdr:y>
    </cdr:from>
    <cdr:to>
      <cdr:x>0.16361</cdr:x>
      <cdr:y>0.44327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1466849" y="2543172"/>
          <a:ext cx="400068" cy="24768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2A6FA5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14109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0.80795</cdr:x>
      <cdr:y>0.83056</cdr:y>
    </cdr:from>
    <cdr:to>
      <cdr:x>0.98664</cdr:x>
      <cdr:y>0.92587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219529" y="5229227"/>
          <a:ext cx="2039023" cy="6000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14109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0.80712</cdr:x>
      <cdr:y>0.82905</cdr:y>
    </cdr:from>
    <cdr:to>
      <cdr:x>0.98581</cdr:x>
      <cdr:y>0.92436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209958" y="5219702"/>
          <a:ext cx="2039023" cy="6000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0.80996</cdr:x>
      <cdr:y>0.82804</cdr:y>
    </cdr:from>
    <cdr:to>
      <cdr:x>0.98865</cdr:x>
      <cdr:y>0.92335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242425" y="5213350"/>
          <a:ext cx="2039023" cy="6000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14109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0.06706</cdr:x>
      <cdr:y>0.82804</cdr:y>
    </cdr:from>
    <cdr:to>
      <cdr:x>0.24575</cdr:x>
      <cdr:y>0.92335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65212" y="5126603"/>
          <a:ext cx="2039023" cy="5900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14109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0.80996</cdr:x>
      <cdr:y>0.82804</cdr:y>
    </cdr:from>
    <cdr:to>
      <cdr:x>0.98865</cdr:x>
      <cdr:y>0.92335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242425" y="5213350"/>
          <a:ext cx="2039023" cy="6000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14109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0.75537</cdr:x>
      <cdr:y>0.83056</cdr:y>
    </cdr:from>
    <cdr:to>
      <cdr:x>0.93406</cdr:x>
      <cdr:y>0.92587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619454" y="5229227"/>
          <a:ext cx="2039023" cy="6000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</cdr:pic>
  </cdr:relSizeAnchor>
  <cdr:relSizeAnchor xmlns:cdr="http://schemas.openxmlformats.org/drawingml/2006/chartDrawing">
    <cdr:from>
      <cdr:x>0.1586</cdr:x>
      <cdr:y>0.47958</cdr:y>
    </cdr:from>
    <cdr:to>
      <cdr:x>0.21285</cdr:x>
      <cdr:y>0.50832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1809802" y="3019425"/>
          <a:ext cx="619073" cy="18098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2A6FA5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14109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0" name="Table10" displayName="Table10" ref="A1:N21" totalsRowShown="0" headerRowDxfId="329" dataDxfId="327" headerRowBorderDxfId="328" tableBorderDxfId="326">
  <tableColumns count="14">
    <tableColumn id="1" name="Market" dataDxfId="325"/>
    <tableColumn id="2" name="Median $/SqFt" dataDxfId="324"/>
    <tableColumn id="3" name="Med-YoY" dataDxfId="323"/>
    <tableColumn id="4" name="Med-MoM" dataDxfId="322"/>
    <tableColumn id="5" name="Inventory" dataDxfId="321"/>
    <tableColumn id="6" name="Inv-YoY" dataDxfId="320"/>
    <tableColumn id="7" name="Inv-MoM" dataDxfId="319"/>
    <tableColumn id="8" name="Sales" dataDxfId="318"/>
    <tableColumn id="9" name="Sls-YoY" dataDxfId="317"/>
    <tableColumn id="10" name="Sls-MoM" dataDxfId="316"/>
    <tableColumn id="14" name="Pending" dataDxfId="315"/>
    <tableColumn id="13" name="Pend-YoY" dataDxfId="314"/>
    <tableColumn id="12" name="Pend-MoM" dataDxfId="313"/>
    <tableColumn id="11" name="&lt;2 Week Pending" dataDxfId="31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" name="Median_Price" displayName="Median_Price" ref="A1:V42" totalsRowShown="0" headerRowDxfId="248" headerRowBorderDxfId="247" tableBorderDxfId="246" totalsRowBorderDxfId="245">
  <tableColumns count="22">
    <tableColumn id="1" name="month" dataDxfId="244"/>
    <tableColumn id="2" name="National (Raw)" dataDxfId="243"/>
    <tableColumn id="13" name="National" dataDxfId="242">
      <calculatedColumnFormula>SUMPRODUCT($D2:$V2,Population[[AZ | Phoenix]:[WA | Seattle]])/SUM(Population[[AZ | Phoenix]:[WA | Seattle]])</calculatedColumnFormula>
    </tableColumn>
    <tableColumn id="3" name="AZ | Phoenix" dataDxfId="241"/>
    <tableColumn id="4" name="CA | Inland Empire" dataDxfId="240"/>
    <tableColumn id="5" name="CA | Los Angeles" dataDxfId="239"/>
    <tableColumn id="6" name="CA | Sacramento" dataDxfId="238"/>
    <tableColumn id="7" name="CA | San Diego" dataDxfId="237"/>
    <tableColumn id="8" name="CA | San Francisco" dataDxfId="236"/>
    <tableColumn id="9" name="CA | San Jose" dataDxfId="235"/>
    <tableColumn id="10" name="CA | Ventura" dataDxfId="234"/>
    <tableColumn id="11" name="CO | Denver" dataDxfId="233"/>
    <tableColumn id="12" name="DC | Washington" dataDxfId="232"/>
    <tableColumn id="14" name="IL | Chicago" dataDxfId="231"/>
    <tableColumn id="15" name="MA | Boston" dataDxfId="230"/>
    <tableColumn id="16" name="MD | Baltimore" dataDxfId="229"/>
    <tableColumn id="17" name="NV | Las Vegas" dataDxfId="228"/>
    <tableColumn id="18" name="NY | Long Island" dataDxfId="227"/>
    <tableColumn id="19" name="OR | Portland" dataDxfId="226"/>
    <tableColumn id="20" name="PA | Philadelphia" dataDxfId="225"/>
    <tableColumn id="23" name="TX | Austin" dataDxfId="224"/>
    <tableColumn id="22" name="WA | Seattle" dataDxfId="22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4" name="Listings_Total" displayName="Listings_Total" ref="A1:U42" totalsRowShown="0" headerRowDxfId="222" headerRowBorderDxfId="221" tableBorderDxfId="220" totalsRowBorderDxfId="219">
  <tableColumns count="21">
    <tableColumn id="1" name="month" dataDxfId="218"/>
    <tableColumn id="2" name="National" dataDxfId="217">
      <calculatedColumnFormula>SUM(Listings_Total[[#This Row],[AZ | Phoenix]:[WA | Seattle]])</calculatedColumnFormula>
    </tableColumn>
    <tableColumn id="3" name="AZ | Phoenix" dataDxfId="216"/>
    <tableColumn id="4" name="CA | Inland Empire" dataDxfId="215"/>
    <tableColumn id="5" name="CA | Los Angeles" dataDxfId="214"/>
    <tableColumn id="6" name="CA | Sacramento" dataDxfId="213"/>
    <tableColumn id="7" name="CA | San Diego" dataDxfId="212"/>
    <tableColumn id="8" name="CA | San Francisco" dataDxfId="211"/>
    <tableColumn id="9" name="CA | San Jose" dataDxfId="210"/>
    <tableColumn id="10" name="CA | Ventura" dataDxfId="209"/>
    <tableColumn id="11" name="CO | Denver" dataDxfId="208"/>
    <tableColumn id="12" name="DC | Washington" dataDxfId="207"/>
    <tableColumn id="14" name="IL | Chicago" dataDxfId="206"/>
    <tableColumn id="15" name="MA | Boston" dataDxfId="205"/>
    <tableColumn id="16" name="MD | Baltimore" dataDxfId="204"/>
    <tableColumn id="17" name="NV | Las Vegas" dataDxfId="203"/>
    <tableColumn id="18" name="NY | Long Island" dataDxfId="202"/>
    <tableColumn id="19" name="OR | Portland" dataDxfId="201"/>
    <tableColumn id="20" name="PA | Philadelphia" dataDxfId="200"/>
    <tableColumn id="23" name="TX | Austin" dataDxfId="199"/>
    <tableColumn id="22" name="WA | Seattle" dataDxfId="19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" name="Sales_Closed" displayName="Sales_Closed" ref="A1:U42" totalsRowShown="0" headerRowDxfId="197" headerRowBorderDxfId="196" tableBorderDxfId="195" totalsRowBorderDxfId="194">
  <tableColumns count="21">
    <tableColumn id="1" name="month" dataDxfId="193"/>
    <tableColumn id="2" name="National" dataDxfId="192">
      <calculatedColumnFormula>SUM(Sales_Closed[[#This Row],[AZ | Phoenix]:[WA | Seattle]])</calculatedColumnFormula>
    </tableColumn>
    <tableColumn id="3" name="AZ | Phoenix" dataDxfId="191"/>
    <tableColumn id="4" name="CA | Inland Empire" dataDxfId="190"/>
    <tableColumn id="5" name="CA | Los Angeles" dataDxfId="189"/>
    <tableColumn id="6" name="CA | Sacramento" dataDxfId="188"/>
    <tableColumn id="7" name="CA | San Diego" dataDxfId="187"/>
    <tableColumn id="8" name="CA | San Francisco" dataDxfId="186"/>
    <tableColumn id="9" name="CA | San Jose" dataDxfId="185"/>
    <tableColumn id="10" name="CA | Ventura" dataDxfId="184"/>
    <tableColumn id="11" name="CO | Denver" dataDxfId="183"/>
    <tableColumn id="12" name="DC | Washington" dataDxfId="182"/>
    <tableColumn id="14" name="IL | Chicago" dataDxfId="181"/>
    <tableColumn id="15" name="MA | Boston" dataDxfId="180"/>
    <tableColumn id="16" name="MD | Baltimore" dataDxfId="179"/>
    <tableColumn id="17" name="NV | Las Vegas" dataDxfId="178"/>
    <tableColumn id="18" name="NY | Long Island" dataDxfId="177"/>
    <tableColumn id="19" name="OR | Portland" dataDxfId="176"/>
    <tableColumn id="20" name="PA | Philadelphia" dataDxfId="175"/>
    <tableColumn id="23" name="TX | Austin" dataDxfId="174"/>
    <tableColumn id="22" name="WA | Seattle" dataDxfId="17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5" name="Sales_Pending" displayName="Sales_Pending" ref="A1:U42" totalsRowShown="0" headerRowDxfId="172" headerRowBorderDxfId="171" tableBorderDxfId="170" totalsRowBorderDxfId="169">
  <tableColumns count="21">
    <tableColumn id="1" name="month" dataDxfId="168"/>
    <tableColumn id="2" name="National" dataDxfId="167">
      <calculatedColumnFormula>SUM(Sales_Pending[[#This Row],[AZ | Phoenix]:[WA | Seattle]])</calculatedColumnFormula>
    </tableColumn>
    <tableColumn id="3" name="AZ | Phoenix" dataDxfId="166"/>
    <tableColumn id="4" name="CA | Inland Empire" dataDxfId="165"/>
    <tableColumn id="5" name="CA | Los Angeles" dataDxfId="164"/>
    <tableColumn id="6" name="CA | Sacramento" dataDxfId="163"/>
    <tableColumn id="7" name="CA | San Diego" dataDxfId="162"/>
    <tableColumn id="8" name="CA | San Francisco" dataDxfId="161"/>
    <tableColumn id="9" name="CA | San Jose" dataDxfId="160"/>
    <tableColumn id="10" name="CA | Ventura" dataDxfId="159"/>
    <tableColumn id="11" name="CO | Denver" dataDxfId="158"/>
    <tableColumn id="12" name="DC | Washington" dataDxfId="157"/>
    <tableColumn id="14" name="IL | Chicago" dataDxfId="156"/>
    <tableColumn id="15" name="MA | Boston" dataDxfId="155"/>
    <tableColumn id="16" name="MD | Baltimore" dataDxfId="154"/>
    <tableColumn id="17" name="NV | Las Vegas" dataDxfId="153"/>
    <tableColumn id="18" name="NY | Long Island" dataDxfId="152"/>
    <tableColumn id="19" name="OR | Portland" dataDxfId="151"/>
    <tableColumn id="20" name="PA | Philadelphia" dataDxfId="150"/>
    <tableColumn id="23" name="TX | Austin" dataDxfId="149"/>
    <tableColumn id="22" name="WA | Seattle" dataDxfId="14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Months_of_Supply" displayName="Months_of_Supply" ref="A1:U42" totalsRowShown="0" headerRowDxfId="147" headerRowBorderDxfId="146" tableBorderDxfId="145" totalsRowBorderDxfId="144">
  <tableColumns count="21">
    <tableColumn id="1" name="month" dataDxfId="143"/>
    <tableColumn id="2" name="National" dataDxfId="142">
      <calculatedColumnFormula>Listings_Total[[#This Row],[National]]/Sales_Closed[[#This Row],[National]]</calculatedColumnFormula>
    </tableColumn>
    <tableColumn id="3" name="AZ | Phoenix" dataDxfId="141">
      <calculatedColumnFormula>Listings_Total[[#This Row],[AZ | Phoenix]]/Sales_Closed[[#This Row],[AZ | Phoenix]]</calculatedColumnFormula>
    </tableColumn>
    <tableColumn id="4" name="CA | Inland Empire" dataDxfId="140">
      <calculatedColumnFormula>Listings_Total[[#This Row],[CA | Inland Empire]]/Sales_Closed[[#This Row],[CA | Inland Empire]]</calculatedColumnFormula>
    </tableColumn>
    <tableColumn id="5" name="CA | Los Angeles" dataDxfId="139">
      <calculatedColumnFormula>Listings_Total[[#This Row],[CA | Los Angeles]]/Sales_Closed[[#This Row],[CA | Los Angeles]]</calculatedColumnFormula>
    </tableColumn>
    <tableColumn id="6" name="CA | Sacramento" dataDxfId="138">
      <calculatedColumnFormula>Listings_Total[[#This Row],[CA | Sacramento]]/Sales_Closed[[#This Row],[CA | Sacramento]]</calculatedColumnFormula>
    </tableColumn>
    <tableColumn id="7" name="CA | San Diego" dataDxfId="137">
      <calculatedColumnFormula>Listings_Total[[#This Row],[CA | San Diego]]/Sales_Closed[[#This Row],[CA | San Diego]]</calculatedColumnFormula>
    </tableColumn>
    <tableColumn id="8" name="CA | San Francisco" dataDxfId="136">
      <calculatedColumnFormula>Listings_Total[[#This Row],[CA | San Francisco]]/Sales_Closed[[#This Row],[CA | San Francisco]]</calculatedColumnFormula>
    </tableColumn>
    <tableColumn id="9" name="CA | San Jose" dataDxfId="135">
      <calculatedColumnFormula>Listings_Total[[#This Row],[CA | San Jose]]/Sales_Closed[[#This Row],[CA | San Jose]]</calculatedColumnFormula>
    </tableColumn>
    <tableColumn id="10" name="CA | Ventura" dataDxfId="134">
      <calculatedColumnFormula>Listings_Total[[#This Row],[CA | Ventura]]/Sales_Closed[[#This Row],[CA | Ventura]]</calculatedColumnFormula>
    </tableColumn>
    <tableColumn id="11" name="CO | Denver" dataDxfId="133">
      <calculatedColumnFormula>Listings_Total[[#This Row],[CO | Denver]]/Sales_Closed[[#This Row],[CO | Denver]]</calculatedColumnFormula>
    </tableColumn>
    <tableColumn id="12" name="DC | Washington" dataDxfId="132">
      <calculatedColumnFormula>Listings_Total[[#This Row],[DC | Washington]]/Sales_Closed[[#This Row],[DC | Washington]]</calculatedColumnFormula>
    </tableColumn>
    <tableColumn id="14" name="IL | Chicago" dataDxfId="131">
      <calculatedColumnFormula>Listings_Total[[#This Row],[IL | Chicago]]/Sales_Closed[[#This Row],[IL | Chicago]]</calculatedColumnFormula>
    </tableColumn>
    <tableColumn id="15" name="MA | Boston" dataDxfId="130">
      <calculatedColumnFormula>Listings_Total[[#This Row],[MA | Boston]]/Sales_Closed[[#This Row],[MA | Boston]]</calculatedColumnFormula>
    </tableColumn>
    <tableColumn id="16" name="MD | Baltimore" dataDxfId="129">
      <calculatedColumnFormula>Listings_Total[[#This Row],[MD | Baltimore]]/Sales_Closed[[#This Row],[MD | Baltimore]]</calculatedColumnFormula>
    </tableColumn>
    <tableColumn id="17" name="NV | Las Vegas" dataDxfId="128">
      <calculatedColumnFormula>Listings_Total[[#This Row],[NV | Las Vegas]]/Sales_Closed[[#This Row],[NV | Las Vegas]]</calculatedColumnFormula>
    </tableColumn>
    <tableColumn id="18" name="NY | Long Island" dataDxfId="127">
      <calculatedColumnFormula>Listings_Total[[#This Row],[NY | Long Island]]/Sales_Closed[[#This Row],[NY | Long Island]]</calculatedColumnFormula>
    </tableColumn>
    <tableColumn id="19" name="OR | Portland" dataDxfId="126">
      <calculatedColumnFormula>Listings_Total[[#This Row],[OR | Portland]]/Sales_Closed[[#This Row],[OR | Portland]]</calculatedColumnFormula>
    </tableColumn>
    <tableColumn id="20" name="PA | Philadelphia" dataDxfId="125">
      <calculatedColumnFormula>Listings_Total[[#This Row],[PA | Philadelphia]]/Sales_Closed[[#This Row],[PA | Philadelphia]]</calculatedColumnFormula>
    </tableColumn>
    <tableColumn id="23" name="TX | Austin" dataDxfId="124">
      <calculatedColumnFormula>Listings_Total[[#This Row],[TX | Austin]]/Sales_Closed[[#This Row],[TX | Austin]]</calculatedColumnFormula>
    </tableColumn>
    <tableColumn id="22" name="WA | Seattle" dataDxfId="123">
      <calculatedColumnFormula>Listings_Total[[#This Row],[WA | Seattle]]/Sales_Closed[[#This Row],[WA | Seattle]]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6" name="Listings_New" displayName="Listings_New" ref="A1:U42" totalsRowShown="0" headerRowDxfId="122" headerRowBorderDxfId="121" tableBorderDxfId="120" totalsRowBorderDxfId="119">
  <tableColumns count="21">
    <tableColumn id="1" name="month" dataDxfId="118"/>
    <tableColumn id="2" name="National" dataDxfId="117">
      <calculatedColumnFormula>SUM(Listings_New[[#This Row],[AZ | Phoenix]:[WA | Seattle]])</calculatedColumnFormula>
    </tableColumn>
    <tableColumn id="3" name="AZ | Phoenix" dataDxfId="116"/>
    <tableColumn id="4" name="CA | Inland Empire" dataDxfId="115"/>
    <tableColumn id="5" name="CA | Los Angeles" dataDxfId="114"/>
    <tableColumn id="6" name="CA | Sacramento" dataDxfId="113"/>
    <tableColumn id="7" name="CA | San Diego" dataDxfId="112"/>
    <tableColumn id="8" name="CA | San Francisco" dataDxfId="111"/>
    <tableColumn id="9" name="CA | San Jose" dataDxfId="110"/>
    <tableColumn id="10" name="CA | Ventura" dataDxfId="109"/>
    <tableColumn id="11" name="CO | Denver" dataDxfId="108"/>
    <tableColumn id="12" name="DC | Washington" dataDxfId="107"/>
    <tableColumn id="14" name="IL | Chicago" dataDxfId="106"/>
    <tableColumn id="15" name="MA | Boston" dataDxfId="105"/>
    <tableColumn id="16" name="MD | Baltimore" dataDxfId="104"/>
    <tableColumn id="17" name="NV | Las Vegas" dataDxfId="103"/>
    <tableColumn id="18" name="NY | Long Island" dataDxfId="102"/>
    <tableColumn id="19" name="OR | Portland" dataDxfId="101"/>
    <tableColumn id="20" name="PA | Philadelphia" dataDxfId="100"/>
    <tableColumn id="23" name="TX | Austin" dataDxfId="99"/>
    <tableColumn id="22" name="WA | Seattle" dataDxfId="9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8" name="Pct_Pending_2_Weeks" displayName="Pct_Pending_2_Weeks" ref="A1:U42" totalsRowShown="0" headerRowDxfId="97" headerRowBorderDxfId="96" tableBorderDxfId="95" totalsRowBorderDxfId="94">
  <tableColumns count="21">
    <tableColumn id="1" name="month" dataDxfId="93"/>
    <tableColumn id="2" name="National" dataDxfId="92">
      <calculatedColumnFormula>Pending_2_Weeks[[#This Row],[National]]/Listings_New[[#This Row],[National]]</calculatedColumnFormula>
    </tableColumn>
    <tableColumn id="3" name="AZ | Phoenix" dataDxfId="91">
      <calculatedColumnFormula>Pending_2_Weeks[[#This Row],[AZ | Phoenix]]/Listings_New[[#This Row],[AZ | Phoenix]]</calculatedColumnFormula>
    </tableColumn>
    <tableColumn id="4" name="CA | Inland Empire" dataDxfId="90">
      <calculatedColumnFormula>Pending_2_Weeks[[#This Row],[CA | Inland Empire]]/Listings_New[[#This Row],[CA | Inland Empire]]</calculatedColumnFormula>
    </tableColumn>
    <tableColumn id="5" name="CA | Los Angeles" dataDxfId="89">
      <calculatedColumnFormula>Pending_2_Weeks[[#This Row],[CA | Los Angeles]]/Listings_New[[#This Row],[CA | Los Angeles]]</calculatedColumnFormula>
    </tableColumn>
    <tableColumn id="6" name="CA | Sacramento" dataDxfId="88">
      <calculatedColumnFormula>Pending_2_Weeks[[#This Row],[CA | Sacramento]]/Listings_New[[#This Row],[CA | Sacramento]]</calculatedColumnFormula>
    </tableColumn>
    <tableColumn id="7" name="CA | San Diego" dataDxfId="87">
      <calculatedColumnFormula>Pending_2_Weeks[[#This Row],[CA | San Diego]]/Listings_New[[#This Row],[CA | San Diego]]</calculatedColumnFormula>
    </tableColumn>
    <tableColumn id="8" name="CA | San Francisco" dataDxfId="86">
      <calculatedColumnFormula>Pending_2_Weeks[[#This Row],[CA | San Francisco]]/Listings_New[[#This Row],[CA | San Francisco]]</calculatedColumnFormula>
    </tableColumn>
    <tableColumn id="9" name="CA | San Jose" dataDxfId="85">
      <calculatedColumnFormula>Pending_2_Weeks[[#This Row],[CA | San Jose]]/Listings_New[[#This Row],[CA | San Jose]]</calculatedColumnFormula>
    </tableColumn>
    <tableColumn id="10" name="CA | Ventura" dataDxfId="84">
      <calculatedColumnFormula>Pending_2_Weeks[[#This Row],[CA | Ventura]]/Listings_New[[#This Row],[CA | Ventura]]</calculatedColumnFormula>
    </tableColumn>
    <tableColumn id="11" name="CO | Denver" dataDxfId="83">
      <calculatedColumnFormula>Pending_2_Weeks[[#This Row],[CO | Denver]]/Listings_New[[#This Row],[CO | Denver]]</calculatedColumnFormula>
    </tableColumn>
    <tableColumn id="12" name="DC | Washington" dataDxfId="82">
      <calculatedColumnFormula>Pending_2_Weeks[[#This Row],[DC | Washington]]/Listings_New[[#This Row],[DC | Washington]]</calculatedColumnFormula>
    </tableColumn>
    <tableColumn id="14" name="IL | Chicago" dataDxfId="81">
      <calculatedColumnFormula>Pending_2_Weeks[[#This Row],[IL | Chicago]]/Listings_New[[#This Row],[IL | Chicago]]</calculatedColumnFormula>
    </tableColumn>
    <tableColumn id="15" name="MA | Boston" dataDxfId="80">
      <calculatedColumnFormula>Pending_2_Weeks[[#This Row],[MA | Boston]]/Listings_New[[#This Row],[MA | Boston]]</calculatedColumnFormula>
    </tableColumn>
    <tableColumn id="16" name="MD | Baltimore" dataDxfId="79">
      <calculatedColumnFormula>Pending_2_Weeks[[#This Row],[MD | Baltimore]]/Listings_New[[#This Row],[MD | Baltimore]]</calculatedColumnFormula>
    </tableColumn>
    <tableColumn id="17" name="NV | Las Vegas" dataDxfId="78">
      <calculatedColumnFormula>Pending_2_Weeks[[#This Row],[NV | Las Vegas]]/Listings_New[[#This Row],[NV | Las Vegas]]</calculatedColumnFormula>
    </tableColumn>
    <tableColumn id="18" name="NY | Long Island" dataDxfId="77">
      <calculatedColumnFormula>Pending_2_Weeks[[#This Row],[NY | Long Island]]/Listings_New[[#This Row],[NY | Long Island]]</calculatedColumnFormula>
    </tableColumn>
    <tableColumn id="19" name="OR | Portland" dataDxfId="76">
      <calculatedColumnFormula>Pending_2_Weeks[[#This Row],[OR | Portland]]/Listings_New[[#This Row],[OR | Portland]]</calculatedColumnFormula>
    </tableColumn>
    <tableColumn id="20" name="PA | Philadelphia" dataDxfId="75">
      <calculatedColumnFormula>Pending_2_Weeks[[#This Row],[PA | Philadelphia]]/Listings_New[[#This Row],[PA | Philadelphia]]</calculatedColumnFormula>
    </tableColumn>
    <tableColumn id="23" name="TX | Austin" dataDxfId="74">
      <calculatedColumnFormula>Pending_2_Weeks[[#This Row],[TX | Austin]]/Listings_New[[#This Row],[TX | Austin]]</calculatedColumnFormula>
    </tableColumn>
    <tableColumn id="22" name="WA | Seattle" dataDxfId="73">
      <calculatedColumnFormula>Pending_2_Weeks[[#This Row],[WA | Seattle]]/Listings_New[[#This Row],[WA | Seattle]]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7" name="Pending_2_Weeks" displayName="Pending_2_Weeks" ref="A1:U42" totalsRowShown="0" headerRowDxfId="72" headerRowBorderDxfId="71" tableBorderDxfId="70" totalsRowBorderDxfId="69">
  <tableColumns count="21">
    <tableColumn id="1" name="month" dataDxfId="68"/>
    <tableColumn id="2" name="National" dataDxfId="67">
      <calculatedColumnFormula>SUM(Pending_2_Weeks[[#This Row],[AZ | Phoenix]:[WA | Seattle]])</calculatedColumnFormula>
    </tableColumn>
    <tableColumn id="3" name="AZ | Phoenix" dataDxfId="66"/>
    <tableColumn id="4" name="CA | Inland Empire" dataDxfId="65"/>
    <tableColumn id="5" name="CA | Los Angeles" dataDxfId="64"/>
    <tableColumn id="6" name="CA | Sacramento" dataDxfId="63"/>
    <tableColumn id="7" name="CA | San Diego" dataDxfId="62"/>
    <tableColumn id="8" name="CA | San Francisco" dataDxfId="61"/>
    <tableColumn id="9" name="CA | San Jose" dataDxfId="60"/>
    <tableColumn id="10" name="CA | Ventura" dataDxfId="59"/>
    <tableColumn id="11" name="CO | Denver" dataDxfId="58"/>
    <tableColumn id="12" name="DC | Washington" dataDxfId="57"/>
    <tableColumn id="14" name="IL | Chicago" dataDxfId="56"/>
    <tableColumn id="15" name="MA | Boston" dataDxfId="55"/>
    <tableColumn id="16" name="MD | Baltimore" dataDxfId="54"/>
    <tableColumn id="17" name="NV | Las Vegas" dataDxfId="53"/>
    <tableColumn id="18" name="NY | Long Island" dataDxfId="52"/>
    <tableColumn id="19" name="OR | Portland" dataDxfId="51"/>
    <tableColumn id="20" name="PA | Philadelphia" dataDxfId="50"/>
    <tableColumn id="23" name="TX | Austin" dataDxfId="49"/>
    <tableColumn id="22" name="WA | Seattle" dataDxfId="4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2" name="Population" displayName="Population" ref="A1:T2" totalsRowShown="0" headerRowDxfId="47">
  <tableColumns count="20">
    <tableColumn id="1" name="market" dataDxfId="46"/>
    <tableColumn id="2" name="AZ | Phoenix" dataDxfId="45"/>
    <tableColumn id="3" name="CA | Inland Empire" dataDxfId="44"/>
    <tableColumn id="4" name="CA | Los Angeles" dataDxfId="43"/>
    <tableColumn id="5" name="CA | Sacramento" dataDxfId="42"/>
    <tableColumn id="6" name="CA | San Diego" dataDxfId="41"/>
    <tableColumn id="7" name="CA | San Francisco" dataDxfId="40"/>
    <tableColumn id="8" name="CA | San Jose" dataDxfId="39"/>
    <tableColumn id="9" name="CA | Ventura" dataDxfId="38"/>
    <tableColumn id="10" name="CO | Denver" dataDxfId="37"/>
    <tableColumn id="11" name="DC | Washington" dataDxfId="36"/>
    <tableColumn id="12" name="IL | Chicago" dataDxfId="35"/>
    <tableColumn id="13" name="MA | Boston" dataDxfId="34"/>
    <tableColumn id="14" name="MD | Baltimore" dataDxfId="33"/>
    <tableColumn id="15" name="NV | Las Vegas" dataDxfId="32"/>
    <tableColumn id="16" name="NY | Long Island" dataDxfId="31"/>
    <tableColumn id="17" name="OR | Portland" dataDxfId="30"/>
    <tableColumn id="18" name="PA | Philadelphia" dataDxfId="29"/>
    <tableColumn id="19" name="TX | Austin" dataDxfId="28"/>
    <tableColumn id="20" name="WA | Seattle" dataDxfId="2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2010 Census Population"/>
    </ext>
  </extLst>
</table>
</file>

<file path=xl/tables/table2.xml><?xml version="1.0" encoding="utf-8"?>
<table xmlns="http://schemas.openxmlformats.org/spreadsheetml/2006/main" id="13" name="Table13" displayName="Table13" ref="Q1:T21" totalsRowShown="0" headerRowDxfId="311" dataDxfId="310">
  <tableColumns count="4">
    <tableColumn id="1" name="Metropolitan Statistical Area" dataDxfId="309"/>
    <tableColumn id="2" name="Median $/SqFt" dataDxfId="308">
      <calculatedColumnFormula>Table10[[#This Row],[Median $/SqFt]]</calculatedColumnFormula>
    </tableColumn>
    <tableColumn id="3" name="Yearly Change" dataDxfId="307">
      <calculatedColumnFormula>Table10[[#This Row],[Med-YoY]]</calculatedColumnFormula>
    </tableColumn>
    <tableColumn id="4" name="Monthly Change" dataDxfId="306">
      <calculatedColumnFormula>Table10[[#This Row],[Med-MoM]]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14" name="Table14" displayName="Table14" ref="V1:Y21" totalsRowShown="0" headerRowDxfId="305" dataDxfId="304">
  <tableColumns count="4">
    <tableColumn id="1" name="Metropolitan Statistical Area" dataDxfId="303"/>
    <tableColumn id="2" name="# of Houses for Sale" dataDxfId="302">
      <calculatedColumnFormula>Table10[[#This Row],[Inventory]]</calculatedColumnFormula>
    </tableColumn>
    <tableColumn id="3" name="Yearly Change" dataDxfId="301">
      <calculatedColumnFormula>Table10[[#This Row],[Inv-YoY]]</calculatedColumnFormula>
    </tableColumn>
    <tableColumn id="4" name="Monthly Change" dataDxfId="300">
      <calculatedColumnFormula>Table10[[#This Row],[Inv-MoM]]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15" name="Table15" displayName="Table15" ref="AA1:AB21" totalsRowShown="0" headerRowDxfId="299" dataDxfId="298">
  <tableColumns count="2">
    <tableColumn id="1" name="Metropolitan Statistical Area" dataDxfId="297"/>
    <tableColumn id="2" name="% Sold within_x000a_14 Days of Debut" dataDxfId="296">
      <calculatedColumnFormula>Table10[[#This Row],[&lt;2 Week Pending]]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16" name="Table16" displayName="Table16" ref="AD1:AG21" totalsRowShown="0" headerRowDxfId="295" dataDxfId="294">
  <tableColumns count="4">
    <tableColumn id="1" name="Metropolitan Statistical Area" dataDxfId="293"/>
    <tableColumn id="2" name="# of Houses Sold" dataDxfId="292">
      <calculatedColumnFormula>Table10[[#This Row],[Sales]]</calculatedColumnFormula>
    </tableColumn>
    <tableColumn id="3" name="Yearly Change" dataDxfId="291">
      <calculatedColumnFormula>Table10[[#This Row],[Sls-YoY]]</calculatedColumnFormula>
    </tableColumn>
    <tableColumn id="4" name="Monthly Change" dataDxfId="290">
      <calculatedColumnFormula>Table10[[#This Row],[Sls-MoM]]</calculatedColumn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7" name="PriceYear" displayName="PriceYear" ref="A1:E13" totalsRowShown="0" headerRowDxfId="289">
  <tableColumns count="5">
    <tableColumn id="1" name="Month"/>
    <tableColumn id="2" name="2010" dataDxfId="288">
      <calculatedColumnFormula>('Median $-SqFt'!H2)</calculatedColumnFormula>
    </tableColumn>
    <tableColumn id="3" name="2011" dataDxfId="287">
      <calculatedColumnFormula>('Median $-SqFt'!H14)</calculatedColumnFormula>
    </tableColumn>
    <tableColumn id="4" name="2012" dataDxfId="286">
      <calculatedColumnFormula>'Median $-SqFt'!H26</calculatedColumnFormula>
    </tableColumn>
    <tableColumn id="5" name="2013" dataDxfId="285">
      <calculatedColumnFormula>('Median $-SqFt'!$C38)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8" name="ListingsYear" displayName="ListingsYear" ref="G1:K13" totalsRowShown="0" headerRowDxfId="284">
  <tableColumns count="5">
    <tableColumn id="1" name="Month"/>
    <tableColumn id="2" name="2010" dataDxfId="283">
      <calculatedColumnFormula>('Median $-SqFt'!M2)</calculatedColumnFormula>
    </tableColumn>
    <tableColumn id="3" name="2011" dataDxfId="282">
      <calculatedColumnFormula>('Median $-SqFt'!M14)</calculatedColumnFormula>
    </tableColumn>
    <tableColumn id="4" name="2012" dataDxfId="281">
      <calculatedColumnFormula>'Median $-SqFt'!M26</calculatedColumnFormula>
    </tableColumn>
    <tableColumn id="5" name="2013" dataDxfId="280">
      <calculatedColumnFormula>(Listings!$B38)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9" name="ListingsYear20" displayName="ListingsYear20" ref="M1:Q13" totalsRowShown="0" headerRowDxfId="279">
  <tableColumns count="5">
    <tableColumn id="1" name="Month"/>
    <tableColumn id="2" name="2010" dataDxfId="278">
      <calculatedColumnFormula>(Listings!$B2)</calculatedColumnFormula>
    </tableColumn>
    <tableColumn id="3" name="2011" dataDxfId="277">
      <calculatedColumnFormula>(Listings!$B14)</calculatedColumnFormula>
    </tableColumn>
    <tableColumn id="4" name="2012" dataDxfId="276">
      <calculatedColumnFormula>'Median $-SqFt'!R26</calculatedColumnFormula>
    </tableColumn>
    <tableColumn id="5" name="2013" dataDxfId="275">
      <calculatedColumnFormula>('Sales Volume'!$B38)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3" name="Median_Price_SqFt" displayName="Median_Price_SqFt" ref="A1:V42" totalsRowShown="0" headerRowDxfId="274" headerRowBorderDxfId="273" tableBorderDxfId="272" totalsRowBorderDxfId="271">
  <tableColumns count="22">
    <tableColumn id="1" name="month" dataDxfId="270"/>
    <tableColumn id="2" name="National (Raw)" dataDxfId="269"/>
    <tableColumn id="13" name="National" dataDxfId="268">
      <calculatedColumnFormula>SUMPRODUCT($D2:$V2,Population[[AZ | Phoenix]:[WA | Seattle]])/SUM(Population[[AZ | Phoenix]:[WA | Seattle]])</calculatedColumnFormula>
    </tableColumn>
    <tableColumn id="3" name="AZ | Phoenix" dataDxfId="267"/>
    <tableColumn id="4" name="CA | Inland Empire" dataDxfId="266"/>
    <tableColumn id="5" name="CA | Los Angeles" dataDxfId="265"/>
    <tableColumn id="6" name="CA | Sacramento" dataDxfId="264"/>
    <tableColumn id="7" name="CA | San Diego" dataDxfId="263"/>
    <tableColumn id="8" name="CA | San Francisco" dataDxfId="262"/>
    <tableColumn id="9" name="CA | San Jose" dataDxfId="261"/>
    <tableColumn id="10" name="CA | Ventura" dataDxfId="260"/>
    <tableColumn id="11" name="CO | Denver" dataDxfId="259"/>
    <tableColumn id="12" name="DC | Washington" dataDxfId="258"/>
    <tableColumn id="14" name="IL | Chicago" dataDxfId="257"/>
    <tableColumn id="15" name="MA | Boston" dataDxfId="256"/>
    <tableColumn id="16" name="MD | Baltimore" dataDxfId="255"/>
    <tableColumn id="17" name="NV | Las Vegas" dataDxfId="254"/>
    <tableColumn id="18" name="NY | Long Island" dataDxfId="253"/>
    <tableColumn id="19" name="OR | Portland" dataDxfId="252"/>
    <tableColumn id="20" name="PA | Philadelphia" dataDxfId="251"/>
    <tableColumn id="23" name="TX | Austin" dataDxfId="250"/>
    <tableColumn id="22" name="WA | Seattle" dataDxfId="24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tabSelected="1" topLeftCell="Q1" workbookViewId="0">
      <selection activeCell="Q1" sqref="Q1"/>
    </sheetView>
  </sheetViews>
  <sheetFormatPr defaultRowHeight="12.75" x14ac:dyDescent="0.2"/>
  <cols>
    <col min="1" max="1" width="17.85546875" style="53" bestFit="1" customWidth="1"/>
    <col min="2" max="2" width="14.28515625" style="59" bestFit="1" customWidth="1"/>
    <col min="3" max="3" width="9.42578125" style="48" bestFit="1" customWidth="1"/>
    <col min="4" max="4" width="10.85546875" style="48" bestFit="1" customWidth="1"/>
    <col min="5" max="5" width="9.7109375" style="47" bestFit="1" customWidth="1"/>
    <col min="6" max="6" width="8" style="48" bestFit="1" customWidth="1"/>
    <col min="7" max="7" width="9.42578125" style="48" bestFit="1" customWidth="1"/>
    <col min="8" max="8" width="7.28515625" style="47" bestFit="1" customWidth="1"/>
    <col min="9" max="9" width="7.7109375" style="48" bestFit="1" customWidth="1"/>
    <col min="10" max="10" width="9.140625" style="48" bestFit="1" customWidth="1"/>
    <col min="11" max="11" width="8.42578125" style="47" bestFit="1" customWidth="1"/>
    <col min="12" max="12" width="9.85546875" style="48" bestFit="1" customWidth="1"/>
    <col min="13" max="13" width="11.28515625" style="48" bestFit="1" customWidth="1"/>
    <col min="14" max="14" width="16.7109375" style="48" bestFit="1" customWidth="1"/>
    <col min="15" max="16" width="9.140625" style="43"/>
    <col min="17" max="17" width="14.85546875" style="43" customWidth="1"/>
    <col min="18" max="18" width="8" style="43" bestFit="1" customWidth="1"/>
    <col min="19" max="19" width="7.7109375" style="43" bestFit="1" customWidth="1"/>
    <col min="20" max="20" width="8.7109375" style="43" bestFit="1" customWidth="1"/>
    <col min="21" max="21" width="9.140625" style="43"/>
    <col min="22" max="22" width="14.85546875" style="43" customWidth="1"/>
    <col min="23" max="23" width="11.28515625" style="47" bestFit="1" customWidth="1"/>
    <col min="24" max="24" width="7.7109375" style="48" bestFit="1" customWidth="1"/>
    <col min="25" max="25" width="8.7109375" style="48" bestFit="1" customWidth="1"/>
    <col min="26" max="26" width="9.140625" style="43"/>
    <col min="27" max="27" width="14.85546875" style="43" bestFit="1" customWidth="1"/>
    <col min="28" max="28" width="15.85546875" style="48" customWidth="1"/>
    <col min="29" max="29" width="9.140625" style="43"/>
    <col min="30" max="30" width="14.85546875" style="43" bestFit="1" customWidth="1"/>
    <col min="31" max="31" width="11.140625" style="47" customWidth="1"/>
    <col min="32" max="32" width="7.7109375" style="48" bestFit="1" customWidth="1"/>
    <col min="33" max="33" width="8.7109375" style="48" bestFit="1" customWidth="1"/>
    <col min="34" max="16384" width="9.140625" style="43"/>
  </cols>
  <sheetData>
    <row r="1" spans="1:33" s="30" customFormat="1" ht="30" customHeight="1" thickBot="1" x14ac:dyDescent="0.25">
      <c r="A1" s="25" t="s">
        <v>68</v>
      </c>
      <c r="B1" s="26" t="s">
        <v>26</v>
      </c>
      <c r="C1" s="27" t="s">
        <v>30</v>
      </c>
      <c r="D1" s="28" t="s">
        <v>31</v>
      </c>
      <c r="E1" s="29" t="s">
        <v>27</v>
      </c>
      <c r="F1" s="27" t="s">
        <v>32</v>
      </c>
      <c r="G1" s="28" t="s">
        <v>33</v>
      </c>
      <c r="H1" s="29" t="s">
        <v>28</v>
      </c>
      <c r="I1" s="27" t="s">
        <v>34</v>
      </c>
      <c r="J1" s="28" t="s">
        <v>35</v>
      </c>
      <c r="K1" s="29" t="s">
        <v>60</v>
      </c>
      <c r="L1" s="27" t="s">
        <v>61</v>
      </c>
      <c r="M1" s="28" t="s">
        <v>62</v>
      </c>
      <c r="N1" s="28" t="s">
        <v>29</v>
      </c>
      <c r="Q1" s="31" t="s">
        <v>37</v>
      </c>
      <c r="R1" s="32" t="s">
        <v>26</v>
      </c>
      <c r="S1" s="33" t="s">
        <v>38</v>
      </c>
      <c r="T1" s="33" t="s">
        <v>39</v>
      </c>
      <c r="V1" s="34" t="s">
        <v>37</v>
      </c>
      <c r="W1" s="35" t="s">
        <v>40</v>
      </c>
      <c r="X1" s="36" t="s">
        <v>38</v>
      </c>
      <c r="Y1" s="36" t="s">
        <v>39</v>
      </c>
      <c r="Z1" s="37"/>
      <c r="AA1" s="36" t="s">
        <v>37</v>
      </c>
      <c r="AB1" s="36" t="s">
        <v>59</v>
      </c>
      <c r="AD1" s="34" t="s">
        <v>37</v>
      </c>
      <c r="AE1" s="35" t="s">
        <v>63</v>
      </c>
      <c r="AF1" s="36" t="s">
        <v>38</v>
      </c>
      <c r="AG1" s="36" t="s">
        <v>39</v>
      </c>
    </row>
    <row r="2" spans="1:33" x14ac:dyDescent="0.2">
      <c r="A2" s="38" t="s">
        <v>8</v>
      </c>
      <c r="B2" s="39">
        <f>'Median $-SqFt'!$D$42</f>
        <v>102.12523583316499</v>
      </c>
      <c r="C2" s="40">
        <f>'Median $-SqFt'!$D$43</f>
        <v>0.22409565262719378</v>
      </c>
      <c r="D2" s="41">
        <f>'Median $-SqFt'!$D$44</f>
        <v>3.5506507872344883E-3</v>
      </c>
      <c r="E2" s="42">
        <f>Listings!$C$42</f>
        <v>14656</v>
      </c>
      <c r="F2" s="40">
        <f>Listings!$C$43</f>
        <v>0.14054474708171205</v>
      </c>
      <c r="G2" s="41">
        <f>Listings!$C$44</f>
        <v>3.9211515280436871E-2</v>
      </c>
      <c r="H2" s="42">
        <f>'Sales Volume'!$C$42</f>
        <v>8814.8662436805062</v>
      </c>
      <c r="I2" s="40">
        <f>'Sales Volume'!$C$43</f>
        <v>6.8339139944310512E-2</v>
      </c>
      <c r="J2" s="41">
        <f>'Sales Volume'!$C$44</f>
        <v>8.7449573609734266E-2</v>
      </c>
      <c r="K2" s="42">
        <f>'Pending Sales'!$C$42</f>
        <v>6087</v>
      </c>
      <c r="L2" s="40">
        <f>'Pending Sales'!$C$43</f>
        <v>0.13330850865760557</v>
      </c>
      <c r="M2" s="41">
        <f>'Pending Sales'!$C$44</f>
        <v>-0.18262387538606151</v>
      </c>
      <c r="N2" s="41">
        <f>'&lt;2wk%'!$C$42</f>
        <v>0.36096398305084748</v>
      </c>
      <c r="Q2" s="44" t="str">
        <f t="shared" ref="Q2:Q20" si="0">RIGHT(A2,LEN(A2)-5)</f>
        <v>Phoenix</v>
      </c>
      <c r="R2" s="45">
        <f>Table10[[#This Row],[Median $/SqFt]]</f>
        <v>102.12523583316499</v>
      </c>
      <c r="S2" s="46">
        <f>Table10[[#This Row],[Med-YoY]]</f>
        <v>0.22409565262719378</v>
      </c>
      <c r="T2" s="46">
        <f>Table10[[#This Row],[Med-MoM]]</f>
        <v>3.5506507872344883E-3</v>
      </c>
      <c r="V2" s="43" t="s">
        <v>36</v>
      </c>
      <c r="W2" s="47">
        <f>Table10[[#This Row],[Inventory]]</f>
        <v>14656</v>
      </c>
      <c r="X2" s="48">
        <f>Table10[[#This Row],[Inv-YoY]]</f>
        <v>0.14054474708171205</v>
      </c>
      <c r="Y2" s="48">
        <f>Table10[[#This Row],[Inv-MoM]]</f>
        <v>3.9211515280436871E-2</v>
      </c>
      <c r="AA2" s="43" t="s">
        <v>36</v>
      </c>
      <c r="AB2" s="48">
        <f>Table10[[#This Row],[&lt;2 Week Pending]]</f>
        <v>0.36096398305084748</v>
      </c>
      <c r="AD2" s="43" t="s">
        <v>36</v>
      </c>
      <c r="AE2" s="47">
        <f>Table10[[#This Row],[Sales]]</f>
        <v>8814.8662436805062</v>
      </c>
      <c r="AF2" s="48">
        <f>Table10[[#This Row],[Sls-YoY]]</f>
        <v>6.8339139944310512E-2</v>
      </c>
      <c r="AG2" s="48">
        <f>Table10[[#This Row],[Sls-MoM]]</f>
        <v>8.7449573609734266E-2</v>
      </c>
    </row>
    <row r="3" spans="1:33" x14ac:dyDescent="0.2">
      <c r="A3" s="38" t="s">
        <v>7</v>
      </c>
      <c r="B3" s="39">
        <f>'Median $-SqFt'!$E$42</f>
        <v>129.126925898753</v>
      </c>
      <c r="C3" s="40">
        <f>'Median $-SqFt'!$E$43</f>
        <v>0.25386130267136053</v>
      </c>
      <c r="D3" s="41">
        <f>'Median $-SqFt'!$E$44</f>
        <v>3.7857666911228272E-2</v>
      </c>
      <c r="E3" s="42">
        <f>Listings!$D$42</f>
        <v>7815</v>
      </c>
      <c r="F3" s="40">
        <f>Listings!$D$43</f>
        <v>-0.43687851275399914</v>
      </c>
      <c r="G3" s="41">
        <f>Listings!$D$44</f>
        <v>-7.2623709505161949E-2</v>
      </c>
      <c r="H3" s="42">
        <f>'Sales Volume'!$D$42</f>
        <v>5647.3685840154803</v>
      </c>
      <c r="I3" s="40">
        <f>'Sales Volume'!$D$43</f>
        <v>-5.4042113230237776E-2</v>
      </c>
      <c r="J3" s="41">
        <f>'Sales Volume'!$D$44</f>
        <v>5.4006827923755107E-2</v>
      </c>
      <c r="K3" s="42">
        <f>'Pending Sales'!$D$42</f>
        <v>4665</v>
      </c>
      <c r="L3" s="40">
        <f>'Pending Sales'!$D$43</f>
        <v>-0.2785338694710795</v>
      </c>
      <c r="M3" s="41">
        <f>'Pending Sales'!$D$44</f>
        <v>-1.1861893666596068E-2</v>
      </c>
      <c r="N3" s="41">
        <f>'&lt;2wk%'!$D$42</f>
        <v>0.48326911377002635</v>
      </c>
      <c r="Q3" s="44" t="str">
        <f t="shared" si="0"/>
        <v>Inland Empire</v>
      </c>
      <c r="R3" s="45">
        <f>Table10[[#This Row],[Median $/SqFt]]</f>
        <v>129.126925898753</v>
      </c>
      <c r="S3" s="46">
        <f>Table10[[#This Row],[Med-YoY]]</f>
        <v>0.25386130267136053</v>
      </c>
      <c r="T3" s="46">
        <f>Table10[[#This Row],[Med-MoM]]</f>
        <v>3.7857666911228272E-2</v>
      </c>
      <c r="V3" s="43" t="s">
        <v>41</v>
      </c>
      <c r="W3" s="47">
        <f>Table10[[#This Row],[Inventory]]</f>
        <v>7815</v>
      </c>
      <c r="X3" s="48">
        <f>Table10[[#This Row],[Inv-YoY]]</f>
        <v>-0.43687851275399914</v>
      </c>
      <c r="Y3" s="48">
        <f>Table10[[#This Row],[Inv-MoM]]</f>
        <v>-7.2623709505161949E-2</v>
      </c>
      <c r="AA3" s="43" t="s">
        <v>41</v>
      </c>
      <c r="AB3" s="48">
        <f>Table10[[#This Row],[&lt;2 Week Pending]]</f>
        <v>0.48326911377002635</v>
      </c>
      <c r="AD3" s="43" t="s">
        <v>41</v>
      </c>
      <c r="AE3" s="47">
        <f>Table10[[#This Row],[Sales]]</f>
        <v>5647.3685840154803</v>
      </c>
      <c r="AF3" s="48">
        <f>Table10[[#This Row],[Sls-YoY]]</f>
        <v>-5.4042113230237776E-2</v>
      </c>
      <c r="AG3" s="48">
        <f>Table10[[#This Row],[Sls-MoM]]</f>
        <v>5.4006827923755107E-2</v>
      </c>
    </row>
    <row r="4" spans="1:33" x14ac:dyDescent="0.2">
      <c r="A4" s="38" t="s">
        <v>2</v>
      </c>
      <c r="B4" s="39">
        <f>'Median $-SqFt'!$F$42</f>
        <v>300.54945054945102</v>
      </c>
      <c r="C4" s="40">
        <f>'Median $-SqFt'!$F$43</f>
        <v>0.22198900407667388</v>
      </c>
      <c r="D4" s="41">
        <f>'Median $-SqFt'!$F$44</f>
        <v>2.5234500454497821E-2</v>
      </c>
      <c r="E4" s="42">
        <f>Listings!$E$42</f>
        <v>10813</v>
      </c>
      <c r="F4" s="40">
        <f>Listings!$E$43</f>
        <v>-0.43825653280689902</v>
      </c>
      <c r="G4" s="41">
        <f>Listings!$E$44</f>
        <v>-1.3322383429145046E-2</v>
      </c>
      <c r="H4" s="42">
        <f>'Sales Volume'!$E$42</f>
        <v>8352.2366279373146</v>
      </c>
      <c r="I4" s="40">
        <f>'Sales Volume'!$E$43</f>
        <v>5.0992403163119926E-2</v>
      </c>
      <c r="J4" s="41">
        <f>'Sales Volume'!$E$44</f>
        <v>7.9658302473799791E-2</v>
      </c>
      <c r="K4" s="42">
        <f>'Pending Sales'!$E$42</f>
        <v>7216</v>
      </c>
      <c r="L4" s="40">
        <f>'Pending Sales'!$E$43</f>
        <v>-0.15344908493664944</v>
      </c>
      <c r="M4" s="41">
        <f>'Pending Sales'!$E$44</f>
        <v>4.5948688215683431E-2</v>
      </c>
      <c r="N4" s="41">
        <f>'&lt;2wk%'!$E$42</f>
        <v>0.47702434177844016</v>
      </c>
      <c r="Q4" s="44" t="str">
        <f t="shared" si="0"/>
        <v>Los Angeles</v>
      </c>
      <c r="R4" s="45">
        <f>Table10[[#This Row],[Median $/SqFt]]</f>
        <v>300.54945054945102</v>
      </c>
      <c r="S4" s="46">
        <f>Table10[[#This Row],[Med-YoY]]</f>
        <v>0.22198900407667388</v>
      </c>
      <c r="T4" s="46">
        <f>Table10[[#This Row],[Med-MoM]]</f>
        <v>2.5234500454497821E-2</v>
      </c>
      <c r="V4" s="43" t="s">
        <v>42</v>
      </c>
      <c r="W4" s="47">
        <f>Table10[[#This Row],[Inventory]]</f>
        <v>10813</v>
      </c>
      <c r="X4" s="48">
        <f>Table10[[#This Row],[Inv-YoY]]</f>
        <v>-0.43825653280689902</v>
      </c>
      <c r="Y4" s="48">
        <f>Table10[[#This Row],[Inv-MoM]]</f>
        <v>-1.3322383429145046E-2</v>
      </c>
      <c r="AA4" s="43" t="s">
        <v>42</v>
      </c>
      <c r="AB4" s="48">
        <f>Table10[[#This Row],[&lt;2 Week Pending]]</f>
        <v>0.47702434177844016</v>
      </c>
      <c r="AD4" s="43" t="s">
        <v>42</v>
      </c>
      <c r="AE4" s="47">
        <f>Table10[[#This Row],[Sales]]</f>
        <v>8352.2366279373146</v>
      </c>
      <c r="AF4" s="48">
        <f>Table10[[#This Row],[Sls-YoY]]</f>
        <v>5.0992403163119926E-2</v>
      </c>
      <c r="AG4" s="48">
        <f>Table10[[#This Row],[Sls-MoM]]</f>
        <v>7.9658302473799791E-2</v>
      </c>
    </row>
    <row r="5" spans="1:33" x14ac:dyDescent="0.2">
      <c r="A5" s="38" t="s">
        <v>15</v>
      </c>
      <c r="B5" s="39">
        <f>'Median $-SqFt'!$G$42</f>
        <v>155.769230769231</v>
      </c>
      <c r="C5" s="40">
        <f>'Median $-SqFt'!$G$43</f>
        <v>0.39049367336294716</v>
      </c>
      <c r="D5" s="41">
        <f>'Median $-SqFt'!$G$44</f>
        <v>5.7383131338118343E-2</v>
      </c>
      <c r="E5" s="42">
        <f>Listings!$F$42</f>
        <v>3639</v>
      </c>
      <c r="F5" s="40">
        <f>Listings!$F$43</f>
        <v>-0.54671150971599403</v>
      </c>
      <c r="G5" s="41">
        <f>Listings!$F$44</f>
        <v>1.7617449664429463E-2</v>
      </c>
      <c r="H5" s="42">
        <f>'Sales Volume'!$F$42</f>
        <v>3349.4400822731245</v>
      </c>
      <c r="I5" s="40">
        <f>'Sales Volume'!$F$43</f>
        <v>3.5695758278640799E-2</v>
      </c>
      <c r="J5" s="41">
        <f>'Sales Volume'!$F$44</f>
        <v>9.9619199695707428E-2</v>
      </c>
      <c r="K5" s="42">
        <f>'Pending Sales'!$F$42</f>
        <v>2931</v>
      </c>
      <c r="L5" s="40">
        <f>'Pending Sales'!$F$43</f>
        <v>-1.3131313131313105E-2</v>
      </c>
      <c r="M5" s="41">
        <f>'Pending Sales'!$F$44</f>
        <v>5.5455527547713324E-2</v>
      </c>
      <c r="N5" s="41">
        <f>'&lt;2wk%'!$F$42</f>
        <v>0.24</v>
      </c>
      <c r="Q5" s="44" t="str">
        <f t="shared" si="0"/>
        <v>Sacramento</v>
      </c>
      <c r="R5" s="45">
        <f>Table10[[#This Row],[Median $/SqFt]]</f>
        <v>155.769230769231</v>
      </c>
      <c r="S5" s="46">
        <f>Table10[[#This Row],[Med-YoY]]</f>
        <v>0.39049367336294716</v>
      </c>
      <c r="T5" s="46">
        <f>Table10[[#This Row],[Med-MoM]]</f>
        <v>5.7383131338118343E-2</v>
      </c>
      <c r="V5" s="43" t="s">
        <v>43</v>
      </c>
      <c r="W5" s="47">
        <f>Table10[[#This Row],[Inventory]]</f>
        <v>3639</v>
      </c>
      <c r="X5" s="48">
        <f>Table10[[#This Row],[Inv-YoY]]</f>
        <v>-0.54671150971599403</v>
      </c>
      <c r="Y5" s="48">
        <f>Table10[[#This Row],[Inv-MoM]]</f>
        <v>1.7617449664429463E-2</v>
      </c>
      <c r="AA5" s="43" t="s">
        <v>43</v>
      </c>
      <c r="AB5" s="48">
        <f>Table10[[#This Row],[&lt;2 Week Pending]]</f>
        <v>0.24</v>
      </c>
      <c r="AD5" s="43" t="s">
        <v>43</v>
      </c>
      <c r="AE5" s="47">
        <f>Table10[[#This Row],[Sales]]</f>
        <v>3349.4400822731245</v>
      </c>
      <c r="AF5" s="48">
        <f>Table10[[#This Row],[Sls-YoY]]</f>
        <v>3.5695758278640799E-2</v>
      </c>
      <c r="AG5" s="48">
        <f>Table10[[#This Row],[Sls-MoM]]</f>
        <v>9.9619199695707428E-2</v>
      </c>
    </row>
    <row r="6" spans="1:33" x14ac:dyDescent="0.2">
      <c r="A6" s="38" t="s">
        <v>11</v>
      </c>
      <c r="B6" s="39">
        <f>'Median $-SqFt'!$H$42</f>
        <v>250.74882327770601</v>
      </c>
      <c r="C6" s="40">
        <f>'Median $-SqFt'!$H$43</f>
        <v>0.18809351538491526</v>
      </c>
      <c r="D6" s="41">
        <f>'Median $-SqFt'!$H$44</f>
        <v>3.1145206392215075E-2</v>
      </c>
      <c r="E6" s="42">
        <f>Listings!$G$42</f>
        <v>3832</v>
      </c>
      <c r="F6" s="40">
        <f>Listings!$G$43</f>
        <v>-0.34562841530054644</v>
      </c>
      <c r="G6" s="41">
        <f>Listings!$G$44</f>
        <v>1.2417437252311814E-2</v>
      </c>
      <c r="H6" s="42">
        <f>'Sales Volume'!$G$42</f>
        <v>2901.5171126878954</v>
      </c>
      <c r="I6" s="40">
        <f>'Sales Volume'!$G$43</f>
        <v>0.1360677810054407</v>
      </c>
      <c r="J6" s="41">
        <f>'Sales Volume'!$G$44</f>
        <v>0.13517883907977124</v>
      </c>
      <c r="K6" s="42">
        <f>'Pending Sales'!$G$42</f>
        <v>2591</v>
      </c>
      <c r="L6" s="40">
        <f>'Pending Sales'!$G$43</f>
        <v>-0.14091511936339518</v>
      </c>
      <c r="M6" s="41">
        <f>'Pending Sales'!$G$44</f>
        <v>7.1990070335126166E-2</v>
      </c>
      <c r="N6" s="41">
        <f>'&lt;2wk%'!$G$42</f>
        <v>0.49515905947441219</v>
      </c>
      <c r="Q6" s="44" t="str">
        <f t="shared" si="0"/>
        <v>San Diego</v>
      </c>
      <c r="R6" s="45">
        <f>Table10[[#This Row],[Median $/SqFt]]</f>
        <v>250.74882327770601</v>
      </c>
      <c r="S6" s="46">
        <f>Table10[[#This Row],[Med-YoY]]</f>
        <v>0.18809351538491526</v>
      </c>
      <c r="T6" s="46">
        <f>Table10[[#This Row],[Med-MoM]]</f>
        <v>3.1145206392215075E-2</v>
      </c>
      <c r="V6" s="43" t="s">
        <v>44</v>
      </c>
      <c r="W6" s="47">
        <f>Table10[[#This Row],[Inventory]]</f>
        <v>3832</v>
      </c>
      <c r="X6" s="48">
        <f>Table10[[#This Row],[Inv-YoY]]</f>
        <v>-0.34562841530054644</v>
      </c>
      <c r="Y6" s="48">
        <f>Table10[[#This Row],[Inv-MoM]]</f>
        <v>1.2417437252311814E-2</v>
      </c>
      <c r="AA6" s="43" t="s">
        <v>44</v>
      </c>
      <c r="AB6" s="48">
        <f>Table10[[#This Row],[&lt;2 Week Pending]]</f>
        <v>0.49515905947441219</v>
      </c>
      <c r="AD6" s="43" t="s">
        <v>44</v>
      </c>
      <c r="AE6" s="47">
        <f>Table10[[#This Row],[Sales]]</f>
        <v>2901.5171126878954</v>
      </c>
      <c r="AF6" s="48">
        <f>Table10[[#This Row],[Sls-YoY]]</f>
        <v>0.1360677810054407</v>
      </c>
      <c r="AG6" s="48">
        <f>Table10[[#This Row],[Sls-MoM]]</f>
        <v>0.13517883907977124</v>
      </c>
    </row>
    <row r="7" spans="1:33" x14ac:dyDescent="0.2">
      <c r="A7" s="38" t="s">
        <v>6</v>
      </c>
      <c r="B7" s="39">
        <f>'Median $-SqFt'!$I$42</f>
        <v>386.44184432117601</v>
      </c>
      <c r="C7" s="40">
        <f>'Median $-SqFt'!$I$43</f>
        <v>0.34692304525558471</v>
      </c>
      <c r="D7" s="41">
        <f>'Median $-SqFt'!$I$44</f>
        <v>9.5946974524832473E-2</v>
      </c>
      <c r="E7" s="42">
        <f>Listings!$H$42</f>
        <v>3421</v>
      </c>
      <c r="F7" s="40">
        <f>Listings!$H$43</f>
        <v>-0.3478841021730843</v>
      </c>
      <c r="G7" s="41">
        <f>Listings!$H$44</f>
        <v>-5.2340796743238771E-3</v>
      </c>
      <c r="H7" s="42">
        <f>'Sales Volume'!$H$42</f>
        <v>3513.277479302968</v>
      </c>
      <c r="I7" s="40">
        <f>'Sales Volume'!$H$43</f>
        <v>-7.7153275728140791E-2</v>
      </c>
      <c r="J7" s="41">
        <f>'Sales Volume'!$H$44</f>
        <v>4.1588342514962351E-2</v>
      </c>
      <c r="K7" s="42">
        <f>'Pending Sales'!$H$42</f>
        <v>3363</v>
      </c>
      <c r="L7" s="40">
        <f>'Pending Sales'!$H$43</f>
        <v>-0.13680698151950721</v>
      </c>
      <c r="M7" s="41">
        <f>'Pending Sales'!$H$44</f>
        <v>0.12474916387959856</v>
      </c>
      <c r="N7" s="41">
        <f>'&lt;2wk%'!$H$42</f>
        <v>0.53783403656821382</v>
      </c>
      <c r="Q7" s="44" t="str">
        <f t="shared" si="0"/>
        <v>San Francisco</v>
      </c>
      <c r="R7" s="45">
        <f>Table10[[#This Row],[Median $/SqFt]]</f>
        <v>386.44184432117601</v>
      </c>
      <c r="S7" s="46">
        <f>Table10[[#This Row],[Med-YoY]]</f>
        <v>0.34692304525558471</v>
      </c>
      <c r="T7" s="46">
        <f>Table10[[#This Row],[Med-MoM]]</f>
        <v>9.5946974524832473E-2</v>
      </c>
      <c r="V7" s="43" t="s">
        <v>45</v>
      </c>
      <c r="W7" s="47">
        <f>Table10[[#This Row],[Inventory]]</f>
        <v>3421</v>
      </c>
      <c r="X7" s="48">
        <f>Table10[[#This Row],[Inv-YoY]]</f>
        <v>-0.3478841021730843</v>
      </c>
      <c r="Y7" s="48">
        <f>Table10[[#This Row],[Inv-MoM]]</f>
        <v>-5.2340796743238771E-3</v>
      </c>
      <c r="AA7" s="43" t="s">
        <v>45</v>
      </c>
      <c r="AB7" s="48">
        <f>Table10[[#This Row],[&lt;2 Week Pending]]</f>
        <v>0.53783403656821382</v>
      </c>
      <c r="AD7" s="43" t="s">
        <v>45</v>
      </c>
      <c r="AE7" s="47">
        <f>Table10[[#This Row],[Sales]]</f>
        <v>3513.277479302968</v>
      </c>
      <c r="AF7" s="48">
        <f>Table10[[#This Row],[Sls-YoY]]</f>
        <v>-7.7153275728140791E-2</v>
      </c>
      <c r="AG7" s="48">
        <f>Table10[[#This Row],[Sls-MoM]]</f>
        <v>4.1588342514962351E-2</v>
      </c>
    </row>
    <row r="8" spans="1:33" x14ac:dyDescent="0.2">
      <c r="A8" s="38" t="s">
        <v>18</v>
      </c>
      <c r="B8" s="39">
        <f>'Median $-SqFt'!$J$42</f>
        <v>451.060662448828</v>
      </c>
      <c r="C8" s="40">
        <f>'Median $-SqFt'!$J$43</f>
        <v>0.26615007542351865</v>
      </c>
      <c r="D8" s="41">
        <f>'Median $-SqFt'!$J$44</f>
        <v>3.8581632159697232E-2</v>
      </c>
      <c r="E8" s="42">
        <f>Listings!$I$42</f>
        <v>1296</v>
      </c>
      <c r="F8" s="40">
        <f>Listings!$I$43</f>
        <v>-0.25688073394495414</v>
      </c>
      <c r="G8" s="41">
        <f>Listings!$I$44</f>
        <v>8.3612040133779209E-2</v>
      </c>
      <c r="H8" s="42">
        <f>'Sales Volume'!$I$42</f>
        <v>1462.6529739656985</v>
      </c>
      <c r="I8" s="40">
        <f>'Sales Volume'!$I$43</f>
        <v>-6.3002579137925396E-2</v>
      </c>
      <c r="J8" s="41">
        <f>'Sales Volume'!$I$44</f>
        <v>9.3163657672420408E-2</v>
      </c>
      <c r="K8" s="42">
        <f>'Pending Sales'!$I$42</f>
        <v>1246</v>
      </c>
      <c r="L8" s="40">
        <f>'Pending Sales'!$I$43</f>
        <v>-0.11756373937677056</v>
      </c>
      <c r="M8" s="41">
        <f>'Pending Sales'!$I$44</f>
        <v>0.12454873646209386</v>
      </c>
      <c r="N8" s="41">
        <f>'&lt;2wk%'!$I$42</f>
        <v>0.57395143487858724</v>
      </c>
      <c r="Q8" s="44" t="str">
        <f t="shared" si="0"/>
        <v>San Jose</v>
      </c>
      <c r="R8" s="45">
        <f>Table10[[#This Row],[Median $/SqFt]]</f>
        <v>451.060662448828</v>
      </c>
      <c r="S8" s="46">
        <f>Table10[[#This Row],[Med-YoY]]</f>
        <v>0.26615007542351865</v>
      </c>
      <c r="T8" s="46">
        <f>Table10[[#This Row],[Med-MoM]]</f>
        <v>3.8581632159697232E-2</v>
      </c>
      <c r="V8" s="43" t="s">
        <v>46</v>
      </c>
      <c r="W8" s="47">
        <f>Table10[[#This Row],[Inventory]]</f>
        <v>1296</v>
      </c>
      <c r="X8" s="48">
        <f>Table10[[#This Row],[Inv-YoY]]</f>
        <v>-0.25688073394495414</v>
      </c>
      <c r="Y8" s="48">
        <f>Table10[[#This Row],[Inv-MoM]]</f>
        <v>8.3612040133779209E-2</v>
      </c>
      <c r="AA8" s="43" t="s">
        <v>46</v>
      </c>
      <c r="AB8" s="48">
        <f>Table10[[#This Row],[&lt;2 Week Pending]]</f>
        <v>0.57395143487858724</v>
      </c>
      <c r="AD8" s="43" t="s">
        <v>46</v>
      </c>
      <c r="AE8" s="47">
        <f>Table10[[#This Row],[Sales]]</f>
        <v>1462.6529739656985</v>
      </c>
      <c r="AF8" s="48">
        <f>Table10[[#This Row],[Sls-YoY]]</f>
        <v>-6.3002579137925396E-2</v>
      </c>
      <c r="AG8" s="48">
        <f>Table10[[#This Row],[Sls-MoM]]</f>
        <v>9.3163657672420408E-2</v>
      </c>
    </row>
    <row r="9" spans="1:33" x14ac:dyDescent="0.2">
      <c r="A9" s="38" t="s">
        <v>20</v>
      </c>
      <c r="B9" s="39">
        <f>'Median $-SqFt'!$K$42</f>
        <v>269.61194029850702</v>
      </c>
      <c r="C9" s="40">
        <f>'Median $-SqFt'!$K$43</f>
        <v>0.20494702736628057</v>
      </c>
      <c r="D9" s="41">
        <f>'Median $-SqFt'!$K$44</f>
        <v>4.2345289667601538E-2</v>
      </c>
      <c r="E9" s="42">
        <f>Listings!$J$42</f>
        <v>971</v>
      </c>
      <c r="F9" s="40">
        <f>Listings!$J$43</f>
        <v>-0.38310038119440915</v>
      </c>
      <c r="G9" s="41">
        <f>Listings!$J$44</f>
        <v>-1.0193679918450549E-2</v>
      </c>
      <c r="H9" s="42">
        <f>'Sales Volume'!$J$42</f>
        <v>723.40089703400042</v>
      </c>
      <c r="I9" s="40">
        <f>'Sales Volume'!$J$43</f>
        <v>-2.1108393729363462E-2</v>
      </c>
      <c r="J9" s="41">
        <f>'Sales Volume'!$J$44</f>
        <v>7.9702831394030449E-2</v>
      </c>
      <c r="K9" s="42">
        <f>'Pending Sales'!$J$42</f>
        <v>590</v>
      </c>
      <c r="L9" s="40">
        <f>'Pending Sales'!$J$43</f>
        <v>-0.2445582586427657</v>
      </c>
      <c r="M9" s="41">
        <f>'Pending Sales'!$J$44</f>
        <v>0</v>
      </c>
      <c r="N9" s="41">
        <f>'&lt;2wk%'!$J$42</f>
        <v>0.48738170347003157</v>
      </c>
      <c r="Q9" s="44" t="str">
        <f t="shared" si="0"/>
        <v>Ventura</v>
      </c>
      <c r="R9" s="45">
        <f>Table10[[#This Row],[Median $/SqFt]]</f>
        <v>269.61194029850702</v>
      </c>
      <c r="S9" s="46">
        <f>Table10[[#This Row],[Med-YoY]]</f>
        <v>0.20494702736628057</v>
      </c>
      <c r="T9" s="46">
        <f>Table10[[#This Row],[Med-MoM]]</f>
        <v>4.2345289667601538E-2</v>
      </c>
      <c r="V9" s="43" t="s">
        <v>47</v>
      </c>
      <c r="W9" s="47">
        <f>Table10[[#This Row],[Inventory]]</f>
        <v>971</v>
      </c>
      <c r="X9" s="48">
        <f>Table10[[#This Row],[Inv-YoY]]</f>
        <v>-0.38310038119440915</v>
      </c>
      <c r="Y9" s="48">
        <f>Table10[[#This Row],[Inv-MoM]]</f>
        <v>-1.0193679918450549E-2</v>
      </c>
      <c r="AA9" s="43" t="s">
        <v>47</v>
      </c>
      <c r="AB9" s="48">
        <f>Table10[[#This Row],[&lt;2 Week Pending]]</f>
        <v>0.48738170347003157</v>
      </c>
      <c r="AD9" s="43" t="s">
        <v>47</v>
      </c>
      <c r="AE9" s="47">
        <f>Table10[[#This Row],[Sales]]</f>
        <v>723.40089703400042</v>
      </c>
      <c r="AF9" s="48">
        <f>Table10[[#This Row],[Sls-YoY]]</f>
        <v>-2.1108393729363462E-2</v>
      </c>
      <c r="AG9" s="48">
        <f>Table10[[#This Row],[Sls-MoM]]</f>
        <v>7.9702831394030449E-2</v>
      </c>
    </row>
    <row r="10" spans="1:33" x14ac:dyDescent="0.2">
      <c r="A10" s="38" t="s">
        <v>14</v>
      </c>
      <c r="B10" s="39">
        <f>'Median $-SqFt'!$L$42</f>
        <v>166.169408626056</v>
      </c>
      <c r="C10" s="40">
        <f>'Median $-SqFt'!$L$43</f>
        <v>0.15110081248231855</v>
      </c>
      <c r="D10" s="41">
        <f>'Median $-SqFt'!$L$44</f>
        <v>2.6533386183333008E-2</v>
      </c>
      <c r="E10" s="42">
        <f>Listings!$K$42</f>
        <v>5751</v>
      </c>
      <c r="F10" s="40">
        <f>Listings!$K$43</f>
        <v>-0.27787543947764948</v>
      </c>
      <c r="G10" s="41">
        <f>Listings!$K$44</f>
        <v>0.10045924225028702</v>
      </c>
      <c r="H10" s="42">
        <f>'Sales Volume'!$K$42</f>
        <v>4907.0067911896149</v>
      </c>
      <c r="I10" s="40">
        <f>'Sales Volume'!$K$43</f>
        <v>0.29883716018782813</v>
      </c>
      <c r="J10" s="41">
        <f>'Sales Volume'!$K$44</f>
        <v>0.28522964672331463</v>
      </c>
      <c r="K10" s="42">
        <f>'Pending Sales'!$K$42</f>
        <v>4241</v>
      </c>
      <c r="L10" s="40">
        <f>'Pending Sales'!$K$43</f>
        <v>0.13760729613733913</v>
      </c>
      <c r="M10" s="41">
        <f>'Pending Sales'!$K$44</f>
        <v>0.1047147694712165</v>
      </c>
      <c r="N10" s="41">
        <f>'&lt;2wk%'!$K$42</f>
        <v>0.49755415793151642</v>
      </c>
      <c r="Q10" s="44" t="str">
        <f t="shared" si="0"/>
        <v>Denver</v>
      </c>
      <c r="R10" s="45">
        <f>Table10[[#This Row],[Median $/SqFt]]</f>
        <v>166.169408626056</v>
      </c>
      <c r="S10" s="46">
        <f>Table10[[#This Row],[Med-YoY]]</f>
        <v>0.15110081248231855</v>
      </c>
      <c r="T10" s="46">
        <f>Table10[[#This Row],[Med-MoM]]</f>
        <v>2.6533386183333008E-2</v>
      </c>
      <c r="V10" s="43" t="s">
        <v>48</v>
      </c>
      <c r="W10" s="47">
        <f>Table10[[#This Row],[Inventory]]</f>
        <v>5751</v>
      </c>
      <c r="X10" s="48">
        <f>Table10[[#This Row],[Inv-YoY]]</f>
        <v>-0.27787543947764948</v>
      </c>
      <c r="Y10" s="48">
        <f>Table10[[#This Row],[Inv-MoM]]</f>
        <v>0.10045924225028702</v>
      </c>
      <c r="AA10" s="43" t="s">
        <v>48</v>
      </c>
      <c r="AB10" s="48">
        <f>Table10[[#This Row],[&lt;2 Week Pending]]</f>
        <v>0.49755415793151642</v>
      </c>
      <c r="AD10" s="43" t="s">
        <v>48</v>
      </c>
      <c r="AE10" s="47">
        <f>Table10[[#This Row],[Sales]]</f>
        <v>4907.0067911896149</v>
      </c>
      <c r="AF10" s="48">
        <f>Table10[[#This Row],[Sls-YoY]]</f>
        <v>0.29883716018782813</v>
      </c>
      <c r="AG10" s="48">
        <f>Table10[[#This Row],[Sls-MoM]]</f>
        <v>0.28522964672331463</v>
      </c>
    </row>
    <row r="11" spans="1:33" x14ac:dyDescent="0.2">
      <c r="A11" s="38" t="s">
        <v>4</v>
      </c>
      <c r="B11" s="39">
        <f>'Median $-SqFt'!$M$42</f>
        <v>210.75137446548601</v>
      </c>
      <c r="C11" s="40">
        <f>'Median $-SqFt'!$M$43</f>
        <v>8.6899233278905363E-2</v>
      </c>
      <c r="D11" s="41">
        <f>'Median $-SqFt'!$M$44</f>
        <v>4.8754722576529241E-2</v>
      </c>
      <c r="E11" s="42">
        <f>Listings!$L$42</f>
        <v>10601</v>
      </c>
      <c r="F11" s="40">
        <f>Listings!$L$43</f>
        <v>-0.18372218372218374</v>
      </c>
      <c r="G11" s="41">
        <f>Listings!$L$44</f>
        <v>6.2970019051438841E-2</v>
      </c>
      <c r="H11" s="42">
        <f>'Sales Volume'!$L$42</f>
        <v>4984.4095996774195</v>
      </c>
      <c r="I11" s="40">
        <f>'Sales Volume'!$L$43</f>
        <v>0.13359326806400262</v>
      </c>
      <c r="J11" s="41">
        <f>'Sales Volume'!$L$44</f>
        <v>0.26894338077327373</v>
      </c>
      <c r="K11" s="42">
        <f>'Pending Sales'!$L$42</f>
        <v>4502</v>
      </c>
      <c r="L11" s="40">
        <f>'Pending Sales'!$L$43</f>
        <v>0.17760920742872099</v>
      </c>
      <c r="M11" s="41">
        <f>'Pending Sales'!$L$44</f>
        <v>-3.4112851319459292E-2</v>
      </c>
      <c r="N11" s="41">
        <f>'&lt;2wk%'!$L$42</f>
        <v>0.40370874447090849</v>
      </c>
      <c r="Q11" s="44" t="str">
        <f t="shared" si="0"/>
        <v>Washington</v>
      </c>
      <c r="R11" s="45">
        <f>Table10[[#This Row],[Median $/SqFt]]</f>
        <v>210.75137446548601</v>
      </c>
      <c r="S11" s="46">
        <f>Table10[[#This Row],[Med-YoY]]</f>
        <v>8.6899233278905363E-2</v>
      </c>
      <c r="T11" s="46">
        <f>Table10[[#This Row],[Med-MoM]]</f>
        <v>4.8754722576529241E-2</v>
      </c>
      <c r="V11" s="43" t="s">
        <v>49</v>
      </c>
      <c r="W11" s="47">
        <f>Table10[[#This Row],[Inventory]]</f>
        <v>10601</v>
      </c>
      <c r="X11" s="48">
        <f>Table10[[#This Row],[Inv-YoY]]</f>
        <v>-0.18372218372218374</v>
      </c>
      <c r="Y11" s="48">
        <f>Table10[[#This Row],[Inv-MoM]]</f>
        <v>6.2970019051438841E-2</v>
      </c>
      <c r="AA11" s="43" t="s">
        <v>49</v>
      </c>
      <c r="AB11" s="48">
        <f>Table10[[#This Row],[&lt;2 Week Pending]]</f>
        <v>0.40370874447090849</v>
      </c>
      <c r="AD11" s="43" t="s">
        <v>49</v>
      </c>
      <c r="AE11" s="47">
        <f>Table10[[#This Row],[Sales]]</f>
        <v>4984.4095996774195</v>
      </c>
      <c r="AF11" s="48">
        <f>Table10[[#This Row],[Sls-YoY]]</f>
        <v>0.13359326806400262</v>
      </c>
      <c r="AG11" s="48">
        <f>Table10[[#This Row],[Sls-MoM]]</f>
        <v>0.26894338077327373</v>
      </c>
    </row>
    <row r="12" spans="1:33" x14ac:dyDescent="0.2">
      <c r="A12" s="38" t="s">
        <v>3</v>
      </c>
      <c r="B12" s="39">
        <f>'Median $-SqFt'!$N$42</f>
        <v>120</v>
      </c>
      <c r="C12" s="40">
        <f>'Median $-SqFt'!$N$43</f>
        <v>8.6700169522150317E-2</v>
      </c>
      <c r="D12" s="41">
        <f>'Median $-SqFt'!$N$44</f>
        <v>7.2479699699550482E-2</v>
      </c>
      <c r="E12" s="42">
        <f>Listings!$M$42</f>
        <v>31200</v>
      </c>
      <c r="F12" s="40">
        <f>Listings!$M$43</f>
        <v>4.022526146419958E-3</v>
      </c>
      <c r="G12" s="41">
        <f>Listings!$M$44</f>
        <v>0.16827679173219501</v>
      </c>
      <c r="H12" s="42">
        <f>'Sales Volume'!$M$42</f>
        <v>7148.1829537831745</v>
      </c>
      <c r="I12" s="40">
        <f>'Sales Volume'!$M$43</f>
        <v>0.30608129979593901</v>
      </c>
      <c r="J12" s="41">
        <f>'Sales Volume'!$M$44</f>
        <v>0.18132258366933973</v>
      </c>
      <c r="K12" s="42">
        <f>'Pending Sales'!$M$42</f>
        <v>2883</v>
      </c>
      <c r="L12" s="40">
        <f>'Pending Sales'!$M$43</f>
        <v>0.68793911007025765</v>
      </c>
      <c r="M12" s="41">
        <f>'Pending Sales'!$M$44</f>
        <v>-0.44991413852318263</v>
      </c>
      <c r="N12" s="41">
        <f>'&lt;2wk%'!$M$42</f>
        <v>0.13775234805138725</v>
      </c>
      <c r="Q12" s="44" t="str">
        <f t="shared" si="0"/>
        <v>Chicago</v>
      </c>
      <c r="R12" s="45">
        <f>Table10[[#This Row],[Median $/SqFt]]</f>
        <v>120</v>
      </c>
      <c r="S12" s="46">
        <f>Table10[[#This Row],[Med-YoY]]</f>
        <v>8.6700169522150317E-2</v>
      </c>
      <c r="T12" s="46">
        <f>Table10[[#This Row],[Med-MoM]]</f>
        <v>7.2479699699550482E-2</v>
      </c>
      <c r="V12" s="43" t="s">
        <v>50</v>
      </c>
      <c r="W12" s="47">
        <f>Table10[[#This Row],[Inventory]]</f>
        <v>31200</v>
      </c>
      <c r="X12" s="48">
        <f>Table10[[#This Row],[Inv-YoY]]</f>
        <v>4.022526146419958E-3</v>
      </c>
      <c r="Y12" s="48">
        <f>Table10[[#This Row],[Inv-MoM]]</f>
        <v>0.16827679173219501</v>
      </c>
      <c r="AA12" s="43" t="s">
        <v>50</v>
      </c>
      <c r="AB12" s="48">
        <f>Table10[[#This Row],[&lt;2 Week Pending]]</f>
        <v>0.13775234805138725</v>
      </c>
      <c r="AD12" s="43" t="s">
        <v>50</v>
      </c>
      <c r="AE12" s="47">
        <f>Table10[[#This Row],[Sales]]</f>
        <v>7148.1829537831745</v>
      </c>
      <c r="AF12" s="48">
        <f>Table10[[#This Row],[Sls-YoY]]</f>
        <v>0.30608129979593901</v>
      </c>
      <c r="AG12" s="48">
        <f>Table10[[#This Row],[Sls-MoM]]</f>
        <v>0.18132258366933973</v>
      </c>
    </row>
    <row r="13" spans="1:33" x14ac:dyDescent="0.2">
      <c r="A13" s="38" t="s">
        <v>9</v>
      </c>
      <c r="B13" s="39">
        <f>'Median $-SqFt'!$O$42</f>
        <v>220.17973856209201</v>
      </c>
      <c r="C13" s="40">
        <f>'Median $-SqFt'!$O$43</f>
        <v>5.6862745098043233E-2</v>
      </c>
      <c r="D13" s="41">
        <f>'Median $-SqFt'!$O$44</f>
        <v>4.8031091977842832E-2</v>
      </c>
      <c r="E13" s="42">
        <f>Listings!$N$42</f>
        <v>8467</v>
      </c>
      <c r="F13" s="40">
        <f>Listings!$N$43</f>
        <v>-0.49036956783435659</v>
      </c>
      <c r="G13" s="41">
        <f>Listings!$N$44</f>
        <v>-9.7076023391813315E-3</v>
      </c>
      <c r="H13" s="42">
        <f>'Sales Volume'!$N$42</f>
        <v>3377.3414445053363</v>
      </c>
      <c r="I13" s="40">
        <f>'Sales Volume'!$N$43</f>
        <v>0.15821037191541021</v>
      </c>
      <c r="J13" s="41">
        <f>'Sales Volume'!$N$44</f>
        <v>0.38019674887835575</v>
      </c>
      <c r="K13" s="42"/>
      <c r="L13" s="40"/>
      <c r="M13" s="41"/>
      <c r="N13" s="41">
        <f>'&lt;2wk%'!$N$42</f>
        <v>3.6030061892130857E-2</v>
      </c>
      <c r="Q13" s="44" t="str">
        <f t="shared" si="0"/>
        <v>Boston</v>
      </c>
      <c r="R13" s="45">
        <f>Table10[[#This Row],[Median $/SqFt]]</f>
        <v>220.17973856209201</v>
      </c>
      <c r="S13" s="46">
        <f>Table10[[#This Row],[Med-YoY]]</f>
        <v>5.6862745098043233E-2</v>
      </c>
      <c r="T13" s="46">
        <f>Table10[[#This Row],[Med-MoM]]</f>
        <v>4.8031091977842832E-2</v>
      </c>
      <c r="V13" s="43" t="s">
        <v>51</v>
      </c>
      <c r="W13" s="47">
        <f>Table10[[#This Row],[Inventory]]</f>
        <v>8467</v>
      </c>
      <c r="X13" s="48">
        <f>Table10[[#This Row],[Inv-YoY]]</f>
        <v>-0.49036956783435659</v>
      </c>
      <c r="Y13" s="48">
        <f>Table10[[#This Row],[Inv-MoM]]</f>
        <v>-9.7076023391813315E-3</v>
      </c>
      <c r="AA13" s="43" t="s">
        <v>51</v>
      </c>
      <c r="AB13" s="48">
        <f>Table10[[#This Row],[&lt;2 Week Pending]]</f>
        <v>3.6030061892130857E-2</v>
      </c>
      <c r="AD13" s="43" t="s">
        <v>51</v>
      </c>
      <c r="AE13" s="47">
        <f>Table10[[#This Row],[Sales]]</f>
        <v>3377.3414445053363</v>
      </c>
      <c r="AF13" s="48">
        <f>Table10[[#This Row],[Sls-YoY]]</f>
        <v>0.15821037191541021</v>
      </c>
      <c r="AG13" s="48">
        <f>Table10[[#This Row],[Sls-MoM]]</f>
        <v>0.38019674887835575</v>
      </c>
    </row>
    <row r="14" spans="1:33" x14ac:dyDescent="0.2">
      <c r="A14" s="38" t="s">
        <v>13</v>
      </c>
      <c r="B14" s="39">
        <f>'Median $-SqFt'!$P$42</f>
        <v>174.650169180478</v>
      </c>
      <c r="C14" s="40">
        <f>'Median $-SqFt'!$P$43</f>
        <v>3.2166726413055402E-2</v>
      </c>
      <c r="D14" s="41">
        <f>'Median $-SqFt'!$P$44</f>
        <v>5.5634706443403292E-2</v>
      </c>
      <c r="E14" s="42">
        <f>Listings!$O$42</f>
        <v>6710</v>
      </c>
      <c r="F14" s="40">
        <f>Listings!$O$43</f>
        <v>-0.14685314685314688</v>
      </c>
      <c r="G14" s="41">
        <f>Listings!$O$44</f>
        <v>3.661362583037242E-2</v>
      </c>
      <c r="H14" s="42">
        <f>'Sales Volume'!$O$42</f>
        <v>2176.740662272442</v>
      </c>
      <c r="I14" s="40">
        <f>'Sales Volume'!$O$43</f>
        <v>0.19077716754509955</v>
      </c>
      <c r="J14" s="41">
        <f>'Sales Volume'!$O$44</f>
        <v>0.26997704916711895</v>
      </c>
      <c r="K14" s="42">
        <f>'Pending Sales'!$O$42</f>
        <v>1882</v>
      </c>
      <c r="L14" s="40">
        <f>'Pending Sales'!$O$43</f>
        <v>0.29258241758241765</v>
      </c>
      <c r="M14" s="41">
        <f>'Pending Sales'!$O$44</f>
        <v>4.9052396878483728E-2</v>
      </c>
      <c r="N14" s="41">
        <f>'&lt;2wk%'!$O$42</f>
        <v>0.29396126091910368</v>
      </c>
      <c r="Q14" s="44" t="str">
        <f t="shared" si="0"/>
        <v>Baltimore</v>
      </c>
      <c r="R14" s="45">
        <f>Table10[[#This Row],[Median $/SqFt]]</f>
        <v>174.650169180478</v>
      </c>
      <c r="S14" s="46">
        <f>Table10[[#This Row],[Med-YoY]]</f>
        <v>3.2166726413055402E-2</v>
      </c>
      <c r="T14" s="46">
        <f>Table10[[#This Row],[Med-MoM]]</f>
        <v>5.5634706443403292E-2</v>
      </c>
      <c r="V14" s="43" t="s">
        <v>52</v>
      </c>
      <c r="W14" s="47">
        <f>Table10[[#This Row],[Inventory]]</f>
        <v>6710</v>
      </c>
      <c r="X14" s="48">
        <f>Table10[[#This Row],[Inv-YoY]]</f>
        <v>-0.14685314685314688</v>
      </c>
      <c r="Y14" s="48">
        <f>Table10[[#This Row],[Inv-MoM]]</f>
        <v>3.661362583037242E-2</v>
      </c>
      <c r="AA14" s="43" t="s">
        <v>52</v>
      </c>
      <c r="AB14" s="48">
        <f>Table10[[#This Row],[&lt;2 Week Pending]]</f>
        <v>0.29396126091910368</v>
      </c>
      <c r="AD14" s="43" t="s">
        <v>52</v>
      </c>
      <c r="AE14" s="47">
        <f>Table10[[#This Row],[Sales]]</f>
        <v>2176.740662272442</v>
      </c>
      <c r="AF14" s="48">
        <f>Table10[[#This Row],[Sls-YoY]]</f>
        <v>0.19077716754509955</v>
      </c>
      <c r="AG14" s="48">
        <f>Table10[[#This Row],[Sls-MoM]]</f>
        <v>0.26997704916711895</v>
      </c>
    </row>
    <row r="15" spans="1:33" x14ac:dyDescent="0.2">
      <c r="A15" s="38" t="s">
        <v>17</v>
      </c>
      <c r="B15" s="39">
        <f>'Median $-SqFt'!$Q$42</f>
        <v>92.4308588064047</v>
      </c>
      <c r="C15" s="40">
        <f>'Median $-SqFt'!$Q$43</f>
        <v>0.32484230955846782</v>
      </c>
      <c r="D15" s="41">
        <f>'Median $-SqFt'!$Q$44</f>
        <v>2.3849512932482497E-2</v>
      </c>
      <c r="E15" s="42">
        <f>Listings!$P$42</f>
        <v>12472</v>
      </c>
      <c r="F15" s="40">
        <f>Listings!$P$43</f>
        <v>-0.21653370186569509</v>
      </c>
      <c r="G15" s="41">
        <f>Listings!$P$44</f>
        <v>-1.3993201043560721E-2</v>
      </c>
      <c r="H15" s="42">
        <f>'Sales Volume'!$P$42</f>
        <v>3617.6249112219175</v>
      </c>
      <c r="I15" s="40">
        <f>'Sales Volume'!$P$43</f>
        <v>-2.5686800101826668E-2</v>
      </c>
      <c r="J15" s="41">
        <f>'Sales Volume'!$P$44</f>
        <v>4.2242843912969619E-2</v>
      </c>
      <c r="K15" s="42">
        <f>'Pending Sales'!$P$42</f>
        <v>3353</v>
      </c>
      <c r="L15" s="40">
        <f>'Pending Sales'!$P$43</f>
        <v>1.9567901234567899</v>
      </c>
      <c r="M15" s="41">
        <f>'Pending Sales'!$P$44</f>
        <v>2.2256097560975574E-2</v>
      </c>
      <c r="N15" s="41">
        <f>'&lt;2wk%'!$P$42</f>
        <v>0.12347877708518848</v>
      </c>
      <c r="Q15" s="44" t="str">
        <f t="shared" si="0"/>
        <v>Las Vegas</v>
      </c>
      <c r="R15" s="45">
        <f>Table10[[#This Row],[Median $/SqFt]]</f>
        <v>92.4308588064047</v>
      </c>
      <c r="S15" s="46">
        <f>Table10[[#This Row],[Med-YoY]]</f>
        <v>0.32484230955846782</v>
      </c>
      <c r="T15" s="46">
        <f>Table10[[#This Row],[Med-MoM]]</f>
        <v>2.3849512932482497E-2</v>
      </c>
      <c r="V15" s="43" t="s">
        <v>53</v>
      </c>
      <c r="W15" s="47">
        <f>Table10[[#This Row],[Inventory]]</f>
        <v>12472</v>
      </c>
      <c r="X15" s="48">
        <f>Table10[[#This Row],[Inv-YoY]]</f>
        <v>-0.21653370186569509</v>
      </c>
      <c r="Y15" s="48">
        <f>Table10[[#This Row],[Inv-MoM]]</f>
        <v>-1.3993201043560721E-2</v>
      </c>
      <c r="AA15" s="43" t="s">
        <v>53</v>
      </c>
      <c r="AB15" s="48">
        <f>Table10[[#This Row],[&lt;2 Week Pending]]</f>
        <v>0.12347877708518848</v>
      </c>
      <c r="AD15" s="43" t="s">
        <v>53</v>
      </c>
      <c r="AE15" s="47">
        <f>Table10[[#This Row],[Sales]]</f>
        <v>3617.6249112219175</v>
      </c>
      <c r="AF15" s="48">
        <f>Table10[[#This Row],[Sls-YoY]]</f>
        <v>-2.5686800101826668E-2</v>
      </c>
      <c r="AG15" s="48">
        <f>Table10[[#This Row],[Sls-MoM]]</f>
        <v>4.2242843912969619E-2</v>
      </c>
    </row>
    <row r="16" spans="1:33" x14ac:dyDescent="0.2">
      <c r="A16" s="38" t="s">
        <v>12</v>
      </c>
      <c r="B16" s="39">
        <f>'Median $-SqFt'!$R$42</f>
        <v>263.45933562428399</v>
      </c>
      <c r="C16" s="40">
        <f>'Median $-SqFt'!$R$43</f>
        <v>7.3596792668957134E-2</v>
      </c>
      <c r="D16" s="41">
        <f>'Median $-SqFt'!$R$44</f>
        <v>2.326358554761998E-2</v>
      </c>
      <c r="E16" s="42">
        <f>Listings!$Q$42</f>
        <v>21070</v>
      </c>
      <c r="F16" s="40">
        <f>Listings!$Q$43</f>
        <v>-0.12995003509931036</v>
      </c>
      <c r="G16" s="41">
        <f>Listings!$Q$44</f>
        <v>3.1578947368421151E-2</v>
      </c>
      <c r="H16" s="42">
        <f>'Sales Volume'!$Q$42</f>
        <v>3284.1357650887376</v>
      </c>
      <c r="I16" s="40">
        <f>'Sales Volume'!$Q$43</f>
        <v>0.74688072611103062</v>
      </c>
      <c r="J16" s="41">
        <f>'Sales Volume'!$Q$44</f>
        <v>0.3162868797950853</v>
      </c>
      <c r="K16" s="42">
        <f>'Pending Sales'!$Q$42</f>
        <v>2865</v>
      </c>
      <c r="L16" s="40">
        <f>'Pending Sales'!$Q$43</f>
        <v>0.5015723270440251</v>
      </c>
      <c r="M16" s="41">
        <f>'Pending Sales'!$Q$44</f>
        <v>8.8939566704675066E-2</v>
      </c>
      <c r="N16" s="41">
        <f>'&lt;2wk%'!$Q$42</f>
        <v>6.2925520940788113E-2</v>
      </c>
      <c r="Q16" s="44" t="str">
        <f t="shared" si="0"/>
        <v>Long Island</v>
      </c>
      <c r="R16" s="45">
        <f>Table10[[#This Row],[Median $/SqFt]]</f>
        <v>263.45933562428399</v>
      </c>
      <c r="S16" s="46">
        <f>Table10[[#This Row],[Med-YoY]]</f>
        <v>7.3596792668957134E-2</v>
      </c>
      <c r="T16" s="46">
        <f>Table10[[#This Row],[Med-MoM]]</f>
        <v>2.326358554761998E-2</v>
      </c>
      <c r="V16" s="43" t="s">
        <v>54</v>
      </c>
      <c r="W16" s="47">
        <f>Table10[[#This Row],[Inventory]]</f>
        <v>21070</v>
      </c>
      <c r="X16" s="48">
        <f>Table10[[#This Row],[Inv-YoY]]</f>
        <v>-0.12995003509931036</v>
      </c>
      <c r="Y16" s="48">
        <f>Table10[[#This Row],[Inv-MoM]]</f>
        <v>3.1578947368421151E-2</v>
      </c>
      <c r="AA16" s="43" t="s">
        <v>54</v>
      </c>
      <c r="AB16" s="48">
        <f>Table10[[#This Row],[&lt;2 Week Pending]]</f>
        <v>6.2925520940788113E-2</v>
      </c>
      <c r="AD16" s="43" t="s">
        <v>54</v>
      </c>
      <c r="AE16" s="47">
        <f>Table10[[#This Row],[Sales]]</f>
        <v>3284.1357650887376</v>
      </c>
      <c r="AF16" s="48">
        <f>Table10[[#This Row],[Sls-YoY]]</f>
        <v>0.74688072611103062</v>
      </c>
      <c r="AG16" s="48">
        <f>Table10[[#This Row],[Sls-MoM]]</f>
        <v>0.3162868797950853</v>
      </c>
    </row>
    <row r="17" spans="1:33" x14ac:dyDescent="0.2">
      <c r="A17" s="38" t="s">
        <v>16</v>
      </c>
      <c r="B17" s="39">
        <f>'Median $-SqFt'!$S$42</f>
        <v>158.32545683679899</v>
      </c>
      <c r="C17" s="40">
        <f>'Median $-SqFt'!$S$43</f>
        <v>0.14506727384241214</v>
      </c>
      <c r="D17" s="41">
        <f>'Median $-SqFt'!$S$44</f>
        <v>2.8449455484588215E-2</v>
      </c>
      <c r="E17" s="42">
        <f>Listings!$R$42</f>
        <v>6583</v>
      </c>
      <c r="F17" s="40">
        <f>Listings!$R$43</f>
        <v>-0.21434538727771812</v>
      </c>
      <c r="G17" s="41">
        <f>Listings!$R$44</f>
        <v>4.1449137794652646E-2</v>
      </c>
      <c r="H17" s="42">
        <f>'Sales Volume'!$R$42</f>
        <v>3117.1609758129744</v>
      </c>
      <c r="I17" s="40">
        <f>'Sales Volume'!$R$43</f>
        <v>0.28701939546365574</v>
      </c>
      <c r="J17" s="41">
        <f>'Sales Volume'!$R$44</f>
        <v>0.18839533961607868</v>
      </c>
      <c r="K17" s="42">
        <f>'Pending Sales'!$R$42</f>
        <v>2859</v>
      </c>
      <c r="L17" s="40">
        <f>'Pending Sales'!$R$43</f>
        <v>0.25780906291245054</v>
      </c>
      <c r="M17" s="41">
        <f>'Pending Sales'!$R$44</f>
        <v>1.6714082503556105E-2</v>
      </c>
      <c r="N17" s="41">
        <f>'&lt;2wk%'!$R$42</f>
        <v>0.40279361459521096</v>
      </c>
      <c r="Q17" s="44" t="str">
        <f t="shared" si="0"/>
        <v>Portland</v>
      </c>
      <c r="R17" s="45">
        <f>Table10[[#This Row],[Median $/SqFt]]</f>
        <v>158.32545683679899</v>
      </c>
      <c r="S17" s="46">
        <f>Table10[[#This Row],[Med-YoY]]</f>
        <v>0.14506727384241214</v>
      </c>
      <c r="T17" s="46">
        <f>Table10[[#This Row],[Med-MoM]]</f>
        <v>2.8449455484588215E-2</v>
      </c>
      <c r="V17" s="43" t="s">
        <v>55</v>
      </c>
      <c r="W17" s="47">
        <f>Table10[[#This Row],[Inventory]]</f>
        <v>6583</v>
      </c>
      <c r="X17" s="48">
        <f>Table10[[#This Row],[Inv-YoY]]</f>
        <v>-0.21434538727771812</v>
      </c>
      <c r="Y17" s="48">
        <f>Table10[[#This Row],[Inv-MoM]]</f>
        <v>4.1449137794652646E-2</v>
      </c>
      <c r="AA17" s="43" t="s">
        <v>55</v>
      </c>
      <c r="AB17" s="48">
        <f>Table10[[#This Row],[&lt;2 Week Pending]]</f>
        <v>0.40279361459521096</v>
      </c>
      <c r="AD17" s="43" t="s">
        <v>55</v>
      </c>
      <c r="AE17" s="47">
        <f>Table10[[#This Row],[Sales]]</f>
        <v>3117.1609758129744</v>
      </c>
      <c r="AF17" s="48">
        <f>Table10[[#This Row],[Sls-YoY]]</f>
        <v>0.28701939546365574</v>
      </c>
      <c r="AG17" s="48">
        <f>Table10[[#This Row],[Sls-MoM]]</f>
        <v>0.18839533961607868</v>
      </c>
    </row>
    <row r="18" spans="1:33" x14ac:dyDescent="0.2">
      <c r="A18" s="38" t="s">
        <v>5</v>
      </c>
      <c r="B18" s="39">
        <f>'Median $-SqFt'!$T$42</f>
        <v>136.842462661876</v>
      </c>
      <c r="C18" s="40">
        <f>'Median $-SqFt'!$T$43</f>
        <v>4.1588077519038702E-2</v>
      </c>
      <c r="D18" s="41">
        <f>'Median $-SqFt'!$T$44</f>
        <v>4.1985663466409973E-2</v>
      </c>
      <c r="E18" s="42">
        <f>Listings!$S$42</f>
        <v>22284</v>
      </c>
      <c r="F18" s="40">
        <f>Listings!$S$43</f>
        <v>-9.3224821973550309E-2</v>
      </c>
      <c r="G18" s="41">
        <f>Listings!$S$44</f>
        <v>2.7054431488224173E-2</v>
      </c>
      <c r="H18" s="42">
        <f>'Sales Volume'!$S$42</f>
        <v>3996.9489920243441</v>
      </c>
      <c r="I18" s="40">
        <f>'Sales Volume'!$S$43</f>
        <v>0.2640572397293941</v>
      </c>
      <c r="J18" s="41">
        <f>'Sales Volume'!$S$44</f>
        <v>0.27210343476268117</v>
      </c>
      <c r="K18" s="42">
        <f>'Pending Sales'!$S$42</f>
        <v>3900</v>
      </c>
      <c r="L18" s="40">
        <f>'Pending Sales'!$S$43</f>
        <v>0.2560386473429952</v>
      </c>
      <c r="M18" s="41">
        <f>'Pending Sales'!$S$44</f>
        <v>6.2091503267973858E-2</v>
      </c>
      <c r="N18" s="41">
        <f>'&lt;2wk%'!$S$42</f>
        <v>9.4575045207956607E-2</v>
      </c>
      <c r="Q18" s="44" t="str">
        <f t="shared" si="0"/>
        <v>Philadelphia</v>
      </c>
      <c r="R18" s="45">
        <f>Table10[[#This Row],[Median $/SqFt]]</f>
        <v>136.842462661876</v>
      </c>
      <c r="S18" s="46">
        <f>Table10[[#This Row],[Med-YoY]]</f>
        <v>4.1588077519038702E-2</v>
      </c>
      <c r="T18" s="46">
        <f>Table10[[#This Row],[Med-MoM]]</f>
        <v>4.1985663466409973E-2</v>
      </c>
      <c r="V18" s="43" t="s">
        <v>56</v>
      </c>
      <c r="W18" s="47">
        <f>Table10[[#This Row],[Inventory]]</f>
        <v>22284</v>
      </c>
      <c r="X18" s="48">
        <f>Table10[[#This Row],[Inv-YoY]]</f>
        <v>-9.3224821973550309E-2</v>
      </c>
      <c r="Y18" s="48">
        <f>Table10[[#This Row],[Inv-MoM]]</f>
        <v>2.7054431488224173E-2</v>
      </c>
      <c r="AA18" s="43" t="s">
        <v>56</v>
      </c>
      <c r="AB18" s="48">
        <f>Table10[[#This Row],[&lt;2 Week Pending]]</f>
        <v>9.4575045207956607E-2</v>
      </c>
      <c r="AD18" s="43" t="s">
        <v>56</v>
      </c>
      <c r="AE18" s="47">
        <f>Table10[[#This Row],[Sales]]</f>
        <v>3996.9489920243441</v>
      </c>
      <c r="AF18" s="48">
        <f>Table10[[#This Row],[Sls-YoY]]</f>
        <v>0.2640572397293941</v>
      </c>
      <c r="AG18" s="48">
        <f>Table10[[#This Row],[Sls-MoM]]</f>
        <v>0.27210343476268117</v>
      </c>
    </row>
    <row r="19" spans="1:33" x14ac:dyDescent="0.2">
      <c r="A19" s="38" t="s">
        <v>19</v>
      </c>
      <c r="B19" s="39">
        <f>'Median $-SqFt'!$U$42</f>
        <v>110.92254134029599</v>
      </c>
      <c r="C19" s="40">
        <f>'Median $-SqFt'!$U$43</f>
        <v>4.2164399847548939E-2</v>
      </c>
      <c r="D19" s="41">
        <f>'Median $-SqFt'!$U$44</f>
        <v>-4.2568788913402988E-3</v>
      </c>
      <c r="E19" s="42">
        <f>Listings!$T$42</f>
        <v>5212</v>
      </c>
      <c r="F19" s="40">
        <f>Listings!$T$43</f>
        <v>-0.26436132674664781</v>
      </c>
      <c r="G19" s="41">
        <f>Listings!$T$44</f>
        <v>4.5536609829488484E-2</v>
      </c>
      <c r="H19" s="42">
        <f>'Sales Volume'!$T$42</f>
        <v>2861.9491037131879</v>
      </c>
      <c r="I19" s="40">
        <f>'Sales Volume'!$T$43</f>
        <v>0.31221875456817427</v>
      </c>
      <c r="J19" s="41">
        <f>'Sales Volume'!$T$44</f>
        <v>0.23572931939256825</v>
      </c>
      <c r="K19" s="42">
        <f>'Pending Sales'!$T$42</f>
        <v>2794</v>
      </c>
      <c r="L19" s="40">
        <f>'Pending Sales'!$T$43</f>
        <v>0.21689895470383269</v>
      </c>
      <c r="M19" s="41">
        <f>'Pending Sales'!$T$44</f>
        <v>9.4827586206896575E-2</v>
      </c>
      <c r="N19" s="41">
        <f>'&lt;2wk%'!$T$42</f>
        <v>0.43439204363169714</v>
      </c>
      <c r="Q19" s="44" t="str">
        <f t="shared" si="0"/>
        <v>Austin</v>
      </c>
      <c r="R19" s="45">
        <f>Table10[[#This Row],[Median $/SqFt]]</f>
        <v>110.92254134029599</v>
      </c>
      <c r="S19" s="46">
        <f>Table10[[#This Row],[Med-YoY]]</f>
        <v>4.2164399847548939E-2</v>
      </c>
      <c r="T19" s="46">
        <f>Table10[[#This Row],[Med-MoM]]</f>
        <v>-4.2568788913402988E-3</v>
      </c>
      <c r="V19" s="43" t="s">
        <v>57</v>
      </c>
      <c r="W19" s="47">
        <f>Table10[[#This Row],[Inventory]]</f>
        <v>5212</v>
      </c>
      <c r="X19" s="48">
        <f>Table10[[#This Row],[Inv-YoY]]</f>
        <v>-0.26436132674664781</v>
      </c>
      <c r="Y19" s="48">
        <f>Table10[[#This Row],[Inv-MoM]]</f>
        <v>4.5536609829488484E-2</v>
      </c>
      <c r="AA19" s="43" t="s">
        <v>57</v>
      </c>
      <c r="AB19" s="48">
        <f>Table10[[#This Row],[&lt;2 Week Pending]]</f>
        <v>0.43439204363169714</v>
      </c>
      <c r="AD19" s="43" t="s">
        <v>57</v>
      </c>
      <c r="AE19" s="47">
        <f>Table10[[#This Row],[Sales]]</f>
        <v>2861.9491037131879</v>
      </c>
      <c r="AF19" s="48">
        <f>Table10[[#This Row],[Sls-YoY]]</f>
        <v>0.31221875456817427</v>
      </c>
      <c r="AG19" s="48">
        <f>Table10[[#This Row],[Sls-MoM]]</f>
        <v>0.23572931939256825</v>
      </c>
    </row>
    <row r="20" spans="1:33" x14ac:dyDescent="0.2">
      <c r="A20" s="38" t="s">
        <v>10</v>
      </c>
      <c r="B20" s="39">
        <f>'Median $-SqFt'!$V$42</f>
        <v>171.013501295883</v>
      </c>
      <c r="C20" s="40">
        <f>'Median $-SqFt'!$V$43</f>
        <v>0.12868910855282412</v>
      </c>
      <c r="D20" s="41">
        <f>'Median $-SqFt'!$V$44</f>
        <v>5.0811739886103435E-2</v>
      </c>
      <c r="E20" s="42">
        <f>Listings!$U$42</f>
        <v>7880</v>
      </c>
      <c r="F20" s="40">
        <f>Listings!$U$43</f>
        <v>-0.30578803629636153</v>
      </c>
      <c r="G20" s="41">
        <f>Listings!$U$44</f>
        <v>4.968695883841745E-2</v>
      </c>
      <c r="H20" s="42">
        <f>'Sales Volume'!$U$42</f>
        <v>4873.4687253595675</v>
      </c>
      <c r="I20" s="40">
        <f>'Sales Volume'!$U$43</f>
        <v>0.28418148230818652</v>
      </c>
      <c r="J20" s="41">
        <f>'Sales Volume'!$U$44</f>
        <v>0.18058835401152318</v>
      </c>
      <c r="K20" s="42">
        <f>'Pending Sales'!$U$42</f>
        <v>4844</v>
      </c>
      <c r="L20" s="40">
        <f>'Pending Sales'!$U$43</f>
        <v>6.7665858496803954E-2</v>
      </c>
      <c r="M20" s="41">
        <f>'Pending Sales'!$U$44</f>
        <v>6.438145462535716E-2</v>
      </c>
      <c r="N20" s="41">
        <f>'&lt;2wk%'!$U$42</f>
        <v>0.47818823092630408</v>
      </c>
      <c r="Q20" s="44" t="str">
        <f t="shared" si="0"/>
        <v>Seattle</v>
      </c>
      <c r="R20" s="45">
        <f>Table10[[#This Row],[Median $/SqFt]]</f>
        <v>171.013501295883</v>
      </c>
      <c r="S20" s="46">
        <f>Table10[[#This Row],[Med-YoY]]</f>
        <v>0.12868910855282412</v>
      </c>
      <c r="T20" s="46">
        <f>Table10[[#This Row],[Med-MoM]]</f>
        <v>5.0811739886103435E-2</v>
      </c>
      <c r="V20" s="43" t="s">
        <v>58</v>
      </c>
      <c r="W20" s="47">
        <f>Table10[[#This Row],[Inventory]]</f>
        <v>7880</v>
      </c>
      <c r="X20" s="48">
        <f>Table10[[#This Row],[Inv-YoY]]</f>
        <v>-0.30578803629636153</v>
      </c>
      <c r="Y20" s="48">
        <f>Table10[[#This Row],[Inv-MoM]]</f>
        <v>4.968695883841745E-2</v>
      </c>
      <c r="AA20" s="43" t="s">
        <v>58</v>
      </c>
      <c r="AB20" s="48">
        <f>Table10[[#This Row],[&lt;2 Week Pending]]</f>
        <v>0.47818823092630408</v>
      </c>
      <c r="AD20" s="43" t="s">
        <v>58</v>
      </c>
      <c r="AE20" s="47">
        <f>Table10[[#This Row],[Sales]]</f>
        <v>4873.4687253595675</v>
      </c>
      <c r="AF20" s="48">
        <f>Table10[[#This Row],[Sls-YoY]]</f>
        <v>0.28418148230818652</v>
      </c>
      <c r="AG20" s="48">
        <f>Table10[[#This Row],[Sls-MoM]]</f>
        <v>0.18058835401152318</v>
      </c>
    </row>
    <row r="21" spans="1:33" s="53" customFormat="1" x14ac:dyDescent="0.2">
      <c r="A21" s="38" t="s">
        <v>1</v>
      </c>
      <c r="B21" s="49">
        <f>'Median $-SqFt'!$C$42</f>
        <v>208.4227762165448</v>
      </c>
      <c r="C21" s="50">
        <f>'Median $-SqFt'!$C$43</f>
        <v>0.17419683628357863</v>
      </c>
      <c r="D21" s="51">
        <f>'Median $-SqFt'!$C$44</f>
        <v>4.2649230614538736E-2</v>
      </c>
      <c r="E21" s="52">
        <f>Listings!$B$42</f>
        <v>184673</v>
      </c>
      <c r="F21" s="50">
        <f>Listings!$B$43</f>
        <v>-0.21899634604323848</v>
      </c>
      <c r="G21" s="51">
        <f>Listings!$B$44</f>
        <v>4.3479980562555864E-2</v>
      </c>
      <c r="H21" s="52">
        <f>'Sales Volume'!$B$42</f>
        <v>79109.729925545704</v>
      </c>
      <c r="I21" s="50">
        <f>'Sales Volume'!$B$43</f>
        <v>0.13650341807760169</v>
      </c>
      <c r="J21" s="51">
        <f>'Sales Volume'!$B$44</f>
        <v>0.1579971006139953</v>
      </c>
      <c r="K21" s="52">
        <f>'Pending Sales'!$B$42</f>
        <v>62812</v>
      </c>
      <c r="L21" s="50">
        <f>'Pending Sales'!$B$43</f>
        <v>0.15213324039766674</v>
      </c>
      <c r="M21" s="51">
        <f>'Pending Sales'!$B$44</f>
        <v>-1.8286393048044802E-2</v>
      </c>
      <c r="N21" s="51">
        <f>'&lt;2wk%'!$B$42</f>
        <v>0.33100868725868726</v>
      </c>
      <c r="Q21" s="54" t="s">
        <v>1</v>
      </c>
      <c r="R21" s="55">
        <f>Table10[[#This Row],[Median $/SqFt]]</f>
        <v>208.4227762165448</v>
      </c>
      <c r="S21" s="56">
        <f>Table10[[#This Row],[Med-YoY]]</f>
        <v>0.17419683628357863</v>
      </c>
      <c r="T21" s="56">
        <f>Table10[[#This Row],[Med-MoM]]</f>
        <v>4.2649230614538736E-2</v>
      </c>
      <c r="V21" s="53" t="s">
        <v>1</v>
      </c>
      <c r="W21" s="57">
        <f>Table10[[#This Row],[Inventory]]</f>
        <v>184673</v>
      </c>
      <c r="X21" s="58">
        <f>Table10[[#This Row],[Inv-YoY]]</f>
        <v>-0.21899634604323848</v>
      </c>
      <c r="Y21" s="58">
        <f>Table10[[#This Row],[Inv-MoM]]</f>
        <v>4.3479980562555864E-2</v>
      </c>
      <c r="AA21" s="53" t="s">
        <v>1</v>
      </c>
      <c r="AB21" s="58">
        <f>Table10[[#This Row],[&lt;2 Week Pending]]</f>
        <v>0.33100868725868726</v>
      </c>
      <c r="AD21" s="53" t="s">
        <v>1</v>
      </c>
      <c r="AE21" s="57">
        <f>Table10[[#This Row],[Sales]]</f>
        <v>79109.729925545704</v>
      </c>
      <c r="AF21" s="58">
        <f>Table10[[#This Row],[Sls-YoY]]</f>
        <v>0.13650341807760169</v>
      </c>
      <c r="AG21" s="58">
        <f>Table10[[#This Row],[Sls-MoM]]</f>
        <v>0.1579971006139953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pane xSplit="1" ySplit="1" topLeftCell="B14" activePane="bottomRight" state="frozenSplit"/>
      <selection pane="topRight" activeCell="B1" sqref="B1"/>
      <selection pane="bottomLeft" activeCell="A2" sqref="A2"/>
      <selection pane="bottomRight" activeCell="B42" sqref="B42"/>
    </sheetView>
  </sheetViews>
  <sheetFormatPr defaultRowHeight="15" x14ac:dyDescent="0.25"/>
  <cols>
    <col min="1" max="1" width="7.5703125" style="9" bestFit="1" customWidth="1"/>
    <col min="2" max="2" width="9.140625" style="6" bestFit="1" customWidth="1"/>
    <col min="3" max="3" width="12.42578125" style="7" bestFit="1" customWidth="1"/>
    <col min="4" max="4" width="17.85546875" style="7" bestFit="1" customWidth="1"/>
    <col min="5" max="6" width="15.85546875" style="7" bestFit="1" customWidth="1"/>
    <col min="7" max="7" width="14.140625" style="7" bestFit="1" customWidth="1"/>
    <col min="8" max="8" width="17.28515625" style="7" bestFit="1" customWidth="1"/>
    <col min="9" max="9" width="12.7109375" style="7" bestFit="1" customWidth="1"/>
    <col min="10" max="10" width="12.42578125" style="7" bestFit="1" customWidth="1"/>
    <col min="11" max="11" width="11.85546875" style="7" bestFit="1" customWidth="1"/>
    <col min="12" max="12" width="16.140625" style="7" bestFit="1" customWidth="1"/>
    <col min="13" max="13" width="11.140625" style="7" bestFit="1" customWidth="1"/>
    <col min="14" max="14" width="12.140625" style="7" bestFit="1" customWidth="1"/>
    <col min="15" max="15" width="14.85546875" style="7" bestFit="1" customWidth="1"/>
    <col min="16" max="16" width="14.140625" style="7" bestFit="1" customWidth="1"/>
    <col min="17" max="17" width="15.42578125" style="7" bestFit="1" customWidth="1"/>
    <col min="18" max="18" width="13.140625" style="7" bestFit="1" customWidth="1"/>
    <col min="19" max="19" width="16.5703125" style="7" bestFit="1" customWidth="1"/>
    <col min="20" max="20" width="10.7109375" style="7" bestFit="1" customWidth="1"/>
    <col min="21" max="21" width="12.42578125" style="7" bestFit="1" customWidth="1"/>
    <col min="22" max="22" width="10.28515625" style="7" bestFit="1" customWidth="1"/>
    <col min="23" max="23" width="12.42578125" style="7" bestFit="1" customWidth="1"/>
    <col min="24" max="24" width="7" style="8" bestFit="1" customWidth="1"/>
    <col min="25" max="16384" width="9.140625" style="8"/>
  </cols>
  <sheetData>
    <row r="1" spans="1:23" s="4" customFormat="1" x14ac:dyDescent="0.25">
      <c r="A1" s="1" t="s">
        <v>0</v>
      </c>
      <c r="B1" s="2" t="s">
        <v>1</v>
      </c>
      <c r="C1" s="3" t="s">
        <v>8</v>
      </c>
      <c r="D1" s="3" t="s">
        <v>7</v>
      </c>
      <c r="E1" s="3" t="s">
        <v>2</v>
      </c>
      <c r="F1" s="3" t="s">
        <v>15</v>
      </c>
      <c r="G1" s="3" t="s">
        <v>11</v>
      </c>
      <c r="H1" s="3" t="s">
        <v>6</v>
      </c>
      <c r="I1" s="3" t="s">
        <v>18</v>
      </c>
      <c r="J1" s="3" t="s">
        <v>20</v>
      </c>
      <c r="K1" s="3" t="s">
        <v>14</v>
      </c>
      <c r="L1" s="3" t="s">
        <v>4</v>
      </c>
      <c r="M1" s="3" t="s">
        <v>3</v>
      </c>
      <c r="N1" s="3" t="s">
        <v>9</v>
      </c>
      <c r="O1" s="3" t="s">
        <v>13</v>
      </c>
      <c r="P1" s="3" t="s">
        <v>17</v>
      </c>
      <c r="Q1" s="3" t="s">
        <v>12</v>
      </c>
      <c r="R1" s="3" t="s">
        <v>16</v>
      </c>
      <c r="S1" s="3" t="s">
        <v>5</v>
      </c>
      <c r="T1" s="3" t="s">
        <v>19</v>
      </c>
      <c r="U1" s="3" t="s">
        <v>10</v>
      </c>
    </row>
    <row r="2" spans="1:23" x14ac:dyDescent="0.25">
      <c r="A2" s="5">
        <v>40179</v>
      </c>
      <c r="B2" s="10">
        <f>Pending_2_Weeks[[#This Row],[National]]/Listings_New[[#This Row],[National]]</f>
        <v>0.202031251675729</v>
      </c>
      <c r="C2" s="11">
        <f>Pending_2_Weeks[[#This Row],[AZ | Phoenix]]/Listings_New[[#This Row],[AZ | Phoenix]]</f>
        <v>0.17296661273716724</v>
      </c>
      <c r="D2" s="11">
        <f>Pending_2_Weeks[[#This Row],[CA | Inland Empire]]/Listings_New[[#This Row],[CA | Inland Empire]]</f>
        <v>0.29171345160565909</v>
      </c>
      <c r="E2" s="11">
        <f>Pending_2_Weeks[[#This Row],[CA | Los Angeles]]/Listings_New[[#This Row],[CA | Los Angeles]]</f>
        <v>0.23911935582509428</v>
      </c>
      <c r="F2" s="11">
        <f>Pending_2_Weeks[[#This Row],[CA | Sacramento]]/Listings_New[[#This Row],[CA | Sacramento]]</f>
        <v>0.45945945945945948</v>
      </c>
      <c r="G2" s="11">
        <f>Pending_2_Weeks[[#This Row],[CA | San Diego]]/Listings_New[[#This Row],[CA | San Diego]]</f>
        <v>0.23210023866348448</v>
      </c>
      <c r="H2" s="11">
        <f>Pending_2_Weeks[[#This Row],[CA | San Francisco]]/Listings_New[[#This Row],[CA | San Francisco]]</f>
        <v>0.3241097208854668</v>
      </c>
      <c r="I2" s="11">
        <f>Pending_2_Weeks[[#This Row],[CA | San Jose]]/Listings_New[[#This Row],[CA | San Jose]]</f>
        <v>0.37821380243572394</v>
      </c>
      <c r="J2" s="11">
        <f>Pending_2_Weeks[[#This Row],[CA | Ventura]]/Listings_New[[#This Row],[CA | Ventura]]</f>
        <v>0.16666666666666666</v>
      </c>
      <c r="K2" s="11">
        <f>Pending_2_Weeks[[#This Row],[CO | Denver]]/Listings_New[[#This Row],[CO | Denver]]</f>
        <v>2.556586875101775E-2</v>
      </c>
      <c r="L2" s="11">
        <f>Pending_2_Weeks[[#This Row],[DC | Washington]]/Listings_New[[#This Row],[DC | Washington]]</f>
        <v>0.35151788397956119</v>
      </c>
      <c r="M2" s="11">
        <f>Pending_2_Weeks[[#This Row],[IL | Chicago]]/Listings_New[[#This Row],[IL | Chicago]]</f>
        <v>0.24470266575529734</v>
      </c>
      <c r="N2" s="11">
        <f>Pending_2_Weeks[[#This Row],[MA | Boston]]/Listings_New[[#This Row],[MA | Boston]]</f>
        <v>0.16935218678066424</v>
      </c>
      <c r="O2" s="11">
        <f>Pending_2_Weeks[[#This Row],[MD | Baltimore]]/Listings_New[[#This Row],[MD | Baltimore]]</f>
        <v>0.22122448979591836</v>
      </c>
      <c r="P2" s="11">
        <f>Pending_2_Weeks[[#This Row],[NV | Las Vegas]]/Listings_New[[#This Row],[NV | Las Vegas]]</f>
        <v>2.279462046956918E-2</v>
      </c>
      <c r="Q2" s="11">
        <f>Pending_2_Weeks[[#This Row],[NY | Long Island]]/Listings_New[[#This Row],[NY | Long Island]]</f>
        <v>5.085943018601366E-2</v>
      </c>
      <c r="R2" s="11">
        <f>Pending_2_Weeks[[#This Row],[OR | Portland]]/Listings_New[[#This Row],[OR | Portland]]</f>
        <v>0.12858210814851731</v>
      </c>
      <c r="S2" s="11"/>
      <c r="T2" s="11"/>
      <c r="U2" s="11">
        <f>Pending_2_Weeks[[#This Row],[WA | Seattle]]/Listings_New[[#This Row],[WA | Seattle]]</f>
        <v>0.24496788008565309</v>
      </c>
      <c r="V2" s="8"/>
      <c r="W2" s="8"/>
    </row>
    <row r="3" spans="1:23" x14ac:dyDescent="0.25">
      <c r="A3" s="5">
        <v>40210</v>
      </c>
      <c r="B3" s="10">
        <f>Pending_2_Weeks[[#This Row],[National]]/Listings_New[[#This Row],[National]]</f>
        <v>0.18363176552938787</v>
      </c>
      <c r="C3" s="11">
        <f>Pending_2_Weeks[[#This Row],[AZ | Phoenix]]/Listings_New[[#This Row],[AZ | Phoenix]]</f>
        <v>0.19086883493663154</v>
      </c>
      <c r="D3" s="11">
        <f>Pending_2_Weeks[[#This Row],[CA | Inland Empire]]/Listings_New[[#This Row],[CA | Inland Empire]]</f>
        <v>0.26704278326281145</v>
      </c>
      <c r="E3" s="11">
        <f>Pending_2_Weeks[[#This Row],[CA | Los Angeles]]/Listings_New[[#This Row],[CA | Los Angeles]]</f>
        <v>0.23552873798322765</v>
      </c>
      <c r="F3" s="11">
        <f>Pending_2_Weeks[[#This Row],[CA | Sacramento]]/Listings_New[[#This Row],[CA | Sacramento]]</f>
        <v>0.3383084577114428</v>
      </c>
      <c r="G3" s="11">
        <f>Pending_2_Weeks[[#This Row],[CA | San Diego]]/Listings_New[[#This Row],[CA | San Diego]]</f>
        <v>0.22279635258358663</v>
      </c>
      <c r="H3" s="11">
        <f>Pending_2_Weeks[[#This Row],[CA | San Francisco]]/Listings_New[[#This Row],[CA | San Francisco]]</f>
        <v>0.32463186077643907</v>
      </c>
      <c r="I3" s="11">
        <f>Pending_2_Weeks[[#This Row],[CA | San Jose]]/Listings_New[[#This Row],[CA | San Jose]]</f>
        <v>0.37084870848708484</v>
      </c>
      <c r="J3" s="11">
        <f>Pending_2_Weeks[[#This Row],[CA | Ventura]]/Listings_New[[#This Row],[CA | Ventura]]</f>
        <v>0.13118279569892474</v>
      </c>
      <c r="K3" s="11">
        <f>Pending_2_Weeks[[#This Row],[CO | Denver]]/Listings_New[[#This Row],[CO | Denver]]</f>
        <v>2.9107276819204803E-2</v>
      </c>
      <c r="L3" s="11">
        <f>Pending_2_Weeks[[#This Row],[DC | Washington]]/Listings_New[[#This Row],[DC | Washington]]</f>
        <v>0.30581170920008577</v>
      </c>
      <c r="M3" s="11">
        <f>Pending_2_Weeks[[#This Row],[IL | Chicago]]/Listings_New[[#This Row],[IL | Chicago]]</f>
        <v>0.1497717864345611</v>
      </c>
      <c r="N3" s="11">
        <f>Pending_2_Weeks[[#This Row],[MA | Boston]]/Listings_New[[#This Row],[MA | Boston]]</f>
        <v>0.13763017168589925</v>
      </c>
      <c r="O3" s="11">
        <f>Pending_2_Weeks[[#This Row],[MD | Baltimore]]/Listings_New[[#This Row],[MD | Baltimore]]</f>
        <v>0.16052934407364788</v>
      </c>
      <c r="P3" s="11">
        <f>Pending_2_Weeks[[#This Row],[NV | Las Vegas]]/Listings_New[[#This Row],[NV | Las Vegas]]</f>
        <v>2.5090470446320869E-2</v>
      </c>
      <c r="Q3" s="11">
        <f>Pending_2_Weeks[[#This Row],[NY | Long Island]]/Listings_New[[#This Row],[NY | Long Island]]</f>
        <v>5.322294500295683E-2</v>
      </c>
      <c r="R3" s="11">
        <f>Pending_2_Weeks[[#This Row],[OR | Portland]]/Listings_New[[#This Row],[OR | Portland]]</f>
        <v>0.17032831399654405</v>
      </c>
      <c r="S3" s="11"/>
      <c r="T3" s="11"/>
      <c r="U3" s="11">
        <f>Pending_2_Weeks[[#This Row],[WA | Seattle]]/Listings_New[[#This Row],[WA | Seattle]]</f>
        <v>0.23326835607537361</v>
      </c>
      <c r="V3" s="8"/>
      <c r="W3" s="8"/>
    </row>
    <row r="4" spans="1:23" x14ac:dyDescent="0.25">
      <c r="A4" s="5">
        <v>40238</v>
      </c>
      <c r="B4" s="10">
        <f>Pending_2_Weeks[[#This Row],[National]]/Listings_New[[#This Row],[National]]</f>
        <v>0.21375818939845145</v>
      </c>
      <c r="C4" s="11">
        <f>Pending_2_Weeks[[#This Row],[AZ | Phoenix]]/Listings_New[[#This Row],[AZ | Phoenix]]</f>
        <v>0.22685409597673292</v>
      </c>
      <c r="D4" s="11">
        <f>Pending_2_Weeks[[#This Row],[CA | Inland Empire]]/Listings_New[[#This Row],[CA | Inland Empire]]</f>
        <v>0.30103771702255039</v>
      </c>
      <c r="E4" s="11">
        <f>Pending_2_Weeks[[#This Row],[CA | Los Angeles]]/Listings_New[[#This Row],[CA | Los Angeles]]</f>
        <v>0.24544359694901646</v>
      </c>
      <c r="F4" s="11">
        <f>Pending_2_Weeks[[#This Row],[CA | Sacramento]]/Listings_New[[#This Row],[CA | Sacramento]]</f>
        <v>0.32692307692307693</v>
      </c>
      <c r="G4" s="11">
        <f>Pending_2_Weeks[[#This Row],[CA | San Diego]]/Listings_New[[#This Row],[CA | San Diego]]</f>
        <v>0.23219195201199699</v>
      </c>
      <c r="H4" s="11">
        <f>Pending_2_Weeks[[#This Row],[CA | San Francisco]]/Listings_New[[#This Row],[CA | San Francisco]]</f>
        <v>0.30995627312478979</v>
      </c>
      <c r="I4" s="11">
        <f>Pending_2_Weeks[[#This Row],[CA | San Jose]]/Listings_New[[#This Row],[CA | San Jose]]</f>
        <v>0.38739573679332717</v>
      </c>
      <c r="J4" s="11">
        <f>Pending_2_Weeks[[#This Row],[CA | Ventura]]/Listings_New[[#This Row],[CA | Ventura]]</f>
        <v>0.15586546349466776</v>
      </c>
      <c r="K4" s="11">
        <f>Pending_2_Weeks[[#This Row],[CO | Denver]]/Listings_New[[#This Row],[CO | Denver]]</f>
        <v>2.5110079733428537E-2</v>
      </c>
      <c r="L4" s="11">
        <f>Pending_2_Weeks[[#This Row],[DC | Washington]]/Listings_New[[#This Row],[DC | Washington]]</f>
        <v>0.39467312348668282</v>
      </c>
      <c r="M4" s="11">
        <f>Pending_2_Weeks[[#This Row],[IL | Chicago]]/Listings_New[[#This Row],[IL | Chicago]]</f>
        <v>0.18579492003762935</v>
      </c>
      <c r="N4" s="11">
        <f>Pending_2_Weeks[[#This Row],[MA | Boston]]/Listings_New[[#This Row],[MA | Boston]]</f>
        <v>0.17415935672514621</v>
      </c>
      <c r="O4" s="11">
        <f>Pending_2_Weeks[[#This Row],[MD | Baltimore]]/Listings_New[[#This Row],[MD | Baltimore]]</f>
        <v>0.21082089552238806</v>
      </c>
      <c r="P4" s="11">
        <f>Pending_2_Weeks[[#This Row],[NV | Las Vegas]]/Listings_New[[#This Row],[NV | Las Vegas]]</f>
        <v>2.4510857880025799E-2</v>
      </c>
      <c r="Q4" s="11">
        <f>Pending_2_Weeks[[#This Row],[NY | Long Island]]/Listings_New[[#This Row],[NY | Long Island]]</f>
        <v>7.0410729253981563E-2</v>
      </c>
      <c r="R4" s="11">
        <f>Pending_2_Weeks[[#This Row],[OR | Portland]]/Listings_New[[#This Row],[OR | Portland]]</f>
        <v>0.20750878490845201</v>
      </c>
      <c r="S4" s="11"/>
      <c r="T4" s="11"/>
      <c r="U4" s="11">
        <f>Pending_2_Weeks[[#This Row],[WA | Seattle]]/Listings_New[[#This Row],[WA | Seattle]]</f>
        <v>0.26139932169325464</v>
      </c>
      <c r="V4" s="8"/>
      <c r="W4" s="8"/>
    </row>
    <row r="5" spans="1:23" x14ac:dyDescent="0.25">
      <c r="A5" s="5">
        <v>40269</v>
      </c>
      <c r="B5" s="10">
        <f>Pending_2_Weeks[[#This Row],[National]]/Listings_New[[#This Row],[National]]</f>
        <v>0.18860336178826015</v>
      </c>
      <c r="C5" s="11">
        <f>Pending_2_Weeks[[#This Row],[AZ | Phoenix]]/Listings_New[[#This Row],[AZ | Phoenix]]</f>
        <v>0.23850959393128068</v>
      </c>
      <c r="D5" s="11">
        <f>Pending_2_Weeks[[#This Row],[CA | Inland Empire]]/Listings_New[[#This Row],[CA | Inland Empire]]</f>
        <v>0.23573404364306935</v>
      </c>
      <c r="E5" s="11">
        <f>Pending_2_Weeks[[#This Row],[CA | Los Angeles]]/Listings_New[[#This Row],[CA | Los Angeles]]</f>
        <v>0.23313869848523314</v>
      </c>
      <c r="F5" s="11">
        <f>Pending_2_Weeks[[#This Row],[CA | Sacramento]]/Listings_New[[#This Row],[CA | Sacramento]]</f>
        <v>0.1254125412541254</v>
      </c>
      <c r="G5" s="11">
        <f>Pending_2_Weeks[[#This Row],[CA | San Diego]]/Listings_New[[#This Row],[CA | San Diego]]</f>
        <v>0.22528916929547843</v>
      </c>
      <c r="H5" s="11">
        <f>Pending_2_Weeks[[#This Row],[CA | San Francisco]]/Listings_New[[#This Row],[CA | San Francisco]]</f>
        <v>0.31115260566966557</v>
      </c>
      <c r="I5" s="11">
        <f>Pending_2_Weeks[[#This Row],[CA | San Jose]]/Listings_New[[#This Row],[CA | San Jose]]</f>
        <v>0.36482694106641722</v>
      </c>
      <c r="J5" s="11">
        <f>Pending_2_Weeks[[#This Row],[CA | Ventura]]/Listings_New[[#This Row],[CA | Ventura]]</f>
        <v>0.15514018691588785</v>
      </c>
      <c r="K5" s="11">
        <f>Pending_2_Weeks[[#This Row],[CO | Denver]]/Listings_New[[#This Row],[CO | Denver]]</f>
        <v>3.3894525588136916E-2</v>
      </c>
      <c r="L5" s="11">
        <f>Pending_2_Weeks[[#This Row],[DC | Washington]]/Listings_New[[#This Row],[DC | Washington]]</f>
        <v>0.31382409586989085</v>
      </c>
      <c r="M5" s="11">
        <f>Pending_2_Weeks[[#This Row],[IL | Chicago]]/Listings_New[[#This Row],[IL | Chicago]]</f>
        <v>0.16929575036634772</v>
      </c>
      <c r="N5" s="11">
        <f>Pending_2_Weeks[[#This Row],[MA | Boston]]/Listings_New[[#This Row],[MA | Boston]]</f>
        <v>0.12903225806451613</v>
      </c>
      <c r="O5" s="11">
        <f>Pending_2_Weeks[[#This Row],[MD | Baltimore]]/Listings_New[[#This Row],[MD | Baltimore]]</f>
        <v>0.18797785394147112</v>
      </c>
      <c r="P5" s="11">
        <f>Pending_2_Weeks[[#This Row],[NV | Las Vegas]]/Listings_New[[#This Row],[NV | Las Vegas]]</f>
        <v>2.8494734668593848E-2</v>
      </c>
      <c r="Q5" s="11">
        <f>Pending_2_Weeks[[#This Row],[NY | Long Island]]/Listings_New[[#This Row],[NY | Long Island]]</f>
        <v>8.300801314978426E-2</v>
      </c>
      <c r="R5" s="11">
        <f>Pending_2_Weeks[[#This Row],[OR | Portland]]/Listings_New[[#This Row],[OR | Portland]]</f>
        <v>0.18623724744948988</v>
      </c>
      <c r="S5" s="11"/>
      <c r="T5" s="11"/>
      <c r="U5" s="11">
        <f>Pending_2_Weeks[[#This Row],[WA | Seattle]]/Listings_New[[#This Row],[WA | Seattle]]</f>
        <v>0.1928844056706652</v>
      </c>
      <c r="V5" s="8"/>
      <c r="W5" s="8"/>
    </row>
    <row r="6" spans="1:23" x14ac:dyDescent="0.25">
      <c r="A6" s="5">
        <v>40299</v>
      </c>
      <c r="B6" s="10">
        <f>Pending_2_Weeks[[#This Row],[National]]/Listings_New[[#This Row],[National]]</f>
        <v>0.15085526527719614</v>
      </c>
      <c r="C6" s="11">
        <f>Pending_2_Weeks[[#This Row],[AZ | Phoenix]]/Listings_New[[#This Row],[AZ | Phoenix]]</f>
        <v>0.1788596257870001</v>
      </c>
      <c r="D6" s="11">
        <f>Pending_2_Weeks[[#This Row],[CA | Inland Empire]]/Listings_New[[#This Row],[CA | Inland Empire]]</f>
        <v>0.19676030811055731</v>
      </c>
      <c r="E6" s="11">
        <f>Pending_2_Weeks[[#This Row],[CA | Los Angeles]]/Listings_New[[#This Row],[CA | Los Angeles]]</f>
        <v>0.19498580889309367</v>
      </c>
      <c r="F6" s="11">
        <f>Pending_2_Weeks[[#This Row],[CA | Sacramento]]/Listings_New[[#This Row],[CA | Sacramento]]</f>
        <v>0.12</v>
      </c>
      <c r="G6" s="11">
        <f>Pending_2_Weeks[[#This Row],[CA | San Diego]]/Listings_New[[#This Row],[CA | San Diego]]</f>
        <v>0.16690564955549184</v>
      </c>
      <c r="H6" s="11">
        <f>Pending_2_Weeks[[#This Row],[CA | San Francisco]]/Listings_New[[#This Row],[CA | San Francisco]]</f>
        <v>0.26733668341708544</v>
      </c>
      <c r="I6" s="11">
        <f>Pending_2_Weeks[[#This Row],[CA | San Jose]]/Listings_New[[#This Row],[CA | San Jose]]</f>
        <v>0.28979820627802688</v>
      </c>
      <c r="J6" s="11">
        <f>Pending_2_Weeks[[#This Row],[CA | Ventura]]/Listings_New[[#This Row],[CA | Ventura]]</f>
        <v>0.10880316518298715</v>
      </c>
      <c r="K6" s="11">
        <f>Pending_2_Weeks[[#This Row],[CO | Denver]]/Listings_New[[#This Row],[CO | Denver]]</f>
        <v>2.1134774833360428E-2</v>
      </c>
      <c r="L6" s="11">
        <f>Pending_2_Weeks[[#This Row],[DC | Washington]]/Listings_New[[#This Row],[DC | Washington]]</f>
        <v>0.27431906614785995</v>
      </c>
      <c r="M6" s="11">
        <f>Pending_2_Weeks[[#This Row],[IL | Chicago]]/Listings_New[[#This Row],[IL | Chicago]]</f>
        <v>0.11763510767980495</v>
      </c>
      <c r="N6" s="11">
        <f>Pending_2_Weeks[[#This Row],[MA | Boston]]/Listings_New[[#This Row],[MA | Boston]]</f>
        <v>0.10541945063103192</v>
      </c>
      <c r="O6" s="11">
        <f>Pending_2_Weeks[[#This Row],[MD | Baltimore]]/Listings_New[[#This Row],[MD | Baltimore]]</f>
        <v>0.13175906913073238</v>
      </c>
      <c r="P6" s="11">
        <f>Pending_2_Weeks[[#This Row],[NV | Las Vegas]]/Listings_New[[#This Row],[NV | Las Vegas]]</f>
        <v>2.4202420242024202E-2</v>
      </c>
      <c r="Q6" s="11">
        <f>Pending_2_Weeks[[#This Row],[NY | Long Island]]/Listings_New[[#This Row],[NY | Long Island]]</f>
        <v>5.6487419832264428E-2</v>
      </c>
      <c r="R6" s="11">
        <f>Pending_2_Weeks[[#This Row],[OR | Portland]]/Listings_New[[#This Row],[OR | Portland]]</f>
        <v>0.12348734873487349</v>
      </c>
      <c r="S6" s="11"/>
      <c r="T6" s="11"/>
      <c r="U6" s="11">
        <f>Pending_2_Weeks[[#This Row],[WA | Seattle]]/Listings_New[[#This Row],[WA | Seattle]]</f>
        <v>0.14278103356419819</v>
      </c>
      <c r="V6" s="8"/>
      <c r="W6" s="8"/>
    </row>
    <row r="7" spans="1:23" x14ac:dyDescent="0.25">
      <c r="A7" s="5">
        <v>40330</v>
      </c>
      <c r="B7" s="10">
        <f>Pending_2_Weeks[[#This Row],[National]]/Listings_New[[#This Row],[National]]</f>
        <v>0.1377745489286745</v>
      </c>
      <c r="C7" s="11">
        <f>Pending_2_Weeks[[#This Row],[AZ | Phoenix]]/Listings_New[[#This Row],[AZ | Phoenix]]</f>
        <v>0.15631262525050099</v>
      </c>
      <c r="D7" s="11">
        <f>Pending_2_Weeks[[#This Row],[CA | Inland Empire]]/Listings_New[[#This Row],[CA | Inland Empire]]</f>
        <v>0.18592908438061043</v>
      </c>
      <c r="E7" s="11">
        <f>Pending_2_Weeks[[#This Row],[CA | Los Angeles]]/Listings_New[[#This Row],[CA | Los Angeles]]</f>
        <v>0.17144112478031634</v>
      </c>
      <c r="F7" s="11">
        <f>Pending_2_Weeks[[#This Row],[CA | Sacramento]]/Listings_New[[#This Row],[CA | Sacramento]]</f>
        <v>7.4534161490683232E-2</v>
      </c>
      <c r="G7" s="11">
        <f>Pending_2_Weeks[[#This Row],[CA | San Diego]]/Listings_New[[#This Row],[CA | San Diego]]</f>
        <v>0.16639957264957264</v>
      </c>
      <c r="H7" s="11">
        <f>Pending_2_Weeks[[#This Row],[CA | San Francisco]]/Listings_New[[#This Row],[CA | San Francisco]]</f>
        <v>0.23023426061493413</v>
      </c>
      <c r="I7" s="11">
        <f>Pending_2_Weeks[[#This Row],[CA | San Jose]]/Listings_New[[#This Row],[CA | San Jose]]</f>
        <v>0.27739043824701193</v>
      </c>
      <c r="J7" s="11">
        <f>Pending_2_Weeks[[#This Row],[CA | Ventura]]/Listings_New[[#This Row],[CA | Ventura]]</f>
        <v>9.7607655502392338E-2</v>
      </c>
      <c r="K7" s="11">
        <f>Pending_2_Weeks[[#This Row],[CO | Denver]]/Listings_New[[#This Row],[CO | Denver]]</f>
        <v>2.4239085525409723E-2</v>
      </c>
      <c r="L7" s="11">
        <f>Pending_2_Weeks[[#This Row],[DC | Washington]]/Listings_New[[#This Row],[DC | Washington]]</f>
        <v>0.26923076923076922</v>
      </c>
      <c r="M7" s="11">
        <f>Pending_2_Weeks[[#This Row],[IL | Chicago]]/Listings_New[[#This Row],[IL | Chicago]]</f>
        <v>0.11510021404942596</v>
      </c>
      <c r="N7" s="11">
        <f>Pending_2_Weeks[[#This Row],[MA | Boston]]/Listings_New[[#This Row],[MA | Boston]]</f>
        <v>0.10264598540145986</v>
      </c>
      <c r="O7" s="11">
        <f>Pending_2_Weeks[[#This Row],[MD | Baltimore]]/Listings_New[[#This Row],[MD | Baltimore]]</f>
        <v>0.14383561643835616</v>
      </c>
      <c r="P7" s="11">
        <f>Pending_2_Weeks[[#This Row],[NV | Las Vegas]]/Listings_New[[#This Row],[NV | Las Vegas]]</f>
        <v>2.342177493138152E-2</v>
      </c>
      <c r="Q7" s="11">
        <f>Pending_2_Weeks[[#This Row],[NY | Long Island]]/Listings_New[[#This Row],[NY | Long Island]]</f>
        <v>5.117924528301887E-2</v>
      </c>
      <c r="R7" s="11">
        <f>Pending_2_Weeks[[#This Row],[OR | Portland]]/Listings_New[[#This Row],[OR | Portland]]</f>
        <v>0.11231101511879049</v>
      </c>
      <c r="S7" s="11"/>
      <c r="T7" s="11"/>
      <c r="U7" s="11">
        <f>Pending_2_Weeks[[#This Row],[WA | Seattle]]/Listings_New[[#This Row],[WA | Seattle]]</f>
        <v>0.11623019721952797</v>
      </c>
      <c r="V7" s="8"/>
      <c r="W7" s="8"/>
    </row>
    <row r="8" spans="1:23" x14ac:dyDescent="0.25">
      <c r="A8" s="5">
        <v>40360</v>
      </c>
      <c r="B8" s="10">
        <f>Pending_2_Weeks[[#This Row],[National]]/Listings_New[[#This Row],[National]]</f>
        <v>0.13213477747302249</v>
      </c>
      <c r="C8" s="11">
        <f>Pending_2_Weeks[[#This Row],[AZ | Phoenix]]/Listings_New[[#This Row],[AZ | Phoenix]]</f>
        <v>0.14926096438090622</v>
      </c>
      <c r="D8" s="11">
        <f>Pending_2_Weeks[[#This Row],[CA | Inland Empire]]/Listings_New[[#This Row],[CA | Inland Empire]]</f>
        <v>0.17391304347826086</v>
      </c>
      <c r="E8" s="11">
        <f>Pending_2_Weeks[[#This Row],[CA | Los Angeles]]/Listings_New[[#This Row],[CA | Los Angeles]]</f>
        <v>0.17028105482303957</v>
      </c>
      <c r="F8" s="11">
        <f>Pending_2_Weeks[[#This Row],[CA | Sacramento]]/Listings_New[[#This Row],[CA | Sacramento]]</f>
        <v>5.4298642533936653E-2</v>
      </c>
      <c r="G8" s="11">
        <f>Pending_2_Weeks[[#This Row],[CA | San Diego]]/Listings_New[[#This Row],[CA | San Diego]]</f>
        <v>0.15851602023608768</v>
      </c>
      <c r="H8" s="11">
        <f>Pending_2_Weeks[[#This Row],[CA | San Francisco]]/Listings_New[[#This Row],[CA | San Francisco]]</f>
        <v>0.22449355432780846</v>
      </c>
      <c r="I8" s="11">
        <f>Pending_2_Weeks[[#This Row],[CA | San Jose]]/Listings_New[[#This Row],[CA | San Jose]]</f>
        <v>0.24747742963356345</v>
      </c>
      <c r="J8" s="11">
        <f>Pending_2_Weeks[[#This Row],[CA | Ventura]]/Listings_New[[#This Row],[CA | Ventura]]</f>
        <v>0.10152740341419586</v>
      </c>
      <c r="K8" s="11">
        <f>Pending_2_Weeks[[#This Row],[CO | Denver]]/Listings_New[[#This Row],[CO | Denver]]</f>
        <v>2.6609442060085836E-2</v>
      </c>
      <c r="L8" s="11">
        <f>Pending_2_Weeks[[#This Row],[DC | Washington]]/Listings_New[[#This Row],[DC | Washington]]</f>
        <v>0.25291342952275248</v>
      </c>
      <c r="M8" s="11">
        <f>Pending_2_Weeks[[#This Row],[IL | Chicago]]/Listings_New[[#This Row],[IL | Chicago]]</f>
        <v>0.11777822825866613</v>
      </c>
      <c r="N8" s="11">
        <f>Pending_2_Weeks[[#This Row],[MA | Boston]]/Listings_New[[#This Row],[MA | Boston]]</f>
        <v>9.1972789115646256E-2</v>
      </c>
      <c r="O8" s="11">
        <f>Pending_2_Weeks[[#This Row],[MD | Baltimore]]/Listings_New[[#This Row],[MD | Baltimore]]</f>
        <v>0.14335664335664336</v>
      </c>
      <c r="P8" s="11">
        <f>Pending_2_Weeks[[#This Row],[NV | Las Vegas]]/Listings_New[[#This Row],[NV | Las Vegas]]</f>
        <v>2.2249690976514216E-2</v>
      </c>
      <c r="Q8" s="11">
        <f>Pending_2_Weeks[[#This Row],[NY | Long Island]]/Listings_New[[#This Row],[NY | Long Island]]</f>
        <v>5.5583885772565018E-2</v>
      </c>
      <c r="R8" s="11">
        <f>Pending_2_Weeks[[#This Row],[OR | Portland]]/Listings_New[[#This Row],[OR | Portland]]</f>
        <v>0.10296846011131726</v>
      </c>
      <c r="S8" s="11"/>
      <c r="T8" s="11"/>
      <c r="U8" s="11">
        <f>Pending_2_Weeks[[#This Row],[WA | Seattle]]/Listings_New[[#This Row],[WA | Seattle]]</f>
        <v>0.12005583992554676</v>
      </c>
      <c r="V8" s="8"/>
      <c r="W8" s="8"/>
    </row>
    <row r="9" spans="1:23" x14ac:dyDescent="0.25">
      <c r="A9" s="5">
        <v>40391</v>
      </c>
      <c r="B9" s="10">
        <f>Pending_2_Weeks[[#This Row],[National]]/Listings_New[[#This Row],[National]]</f>
        <v>0.12532188841201716</v>
      </c>
      <c r="C9" s="11">
        <f>Pending_2_Weeks[[#This Row],[AZ | Phoenix]]/Listings_New[[#This Row],[AZ | Phoenix]]</f>
        <v>0.14717618170656846</v>
      </c>
      <c r="D9" s="11">
        <f>Pending_2_Weeks[[#This Row],[CA | Inland Empire]]/Listings_New[[#This Row],[CA | Inland Empire]]</f>
        <v>0.16277037360716626</v>
      </c>
      <c r="E9" s="11">
        <f>Pending_2_Weeks[[#This Row],[CA | Los Angeles]]/Listings_New[[#This Row],[CA | Los Angeles]]</f>
        <v>0.1608181818181818</v>
      </c>
      <c r="F9" s="11">
        <f>Pending_2_Weeks[[#This Row],[CA | Sacramento]]/Listings_New[[#This Row],[CA | Sacramento]]</f>
        <v>7.4257425742574254E-2</v>
      </c>
      <c r="G9" s="11">
        <f>Pending_2_Weeks[[#This Row],[CA | San Diego]]/Listings_New[[#This Row],[CA | San Diego]]</f>
        <v>0.14544939041678481</v>
      </c>
      <c r="H9" s="11">
        <f>Pending_2_Weeks[[#This Row],[CA | San Francisco]]/Listings_New[[#This Row],[CA | San Francisco]]</f>
        <v>0.20272830617658205</v>
      </c>
      <c r="I9" s="11">
        <f>Pending_2_Weeks[[#This Row],[CA | San Jose]]/Listings_New[[#This Row],[CA | San Jose]]</f>
        <v>0.21866216975829117</v>
      </c>
      <c r="J9" s="11">
        <f>Pending_2_Weeks[[#This Row],[CA | Ventura]]/Listings_New[[#This Row],[CA | Ventura]]</f>
        <v>0.10531697341513292</v>
      </c>
      <c r="K9" s="11">
        <f>Pending_2_Weeks[[#This Row],[CO | Denver]]/Listings_New[[#This Row],[CO | Denver]]</f>
        <v>2.7956346240095679E-2</v>
      </c>
      <c r="L9" s="11">
        <f>Pending_2_Weeks[[#This Row],[DC | Washington]]/Listings_New[[#This Row],[DC | Washington]]</f>
        <v>0.22682926829268293</v>
      </c>
      <c r="M9" s="11">
        <f>Pending_2_Weeks[[#This Row],[IL | Chicago]]/Listings_New[[#This Row],[IL | Chicago]]</f>
        <v>0.11203185535944898</v>
      </c>
      <c r="N9" s="11">
        <f>Pending_2_Weeks[[#This Row],[MA | Boston]]/Listings_New[[#This Row],[MA | Boston]]</f>
        <v>9.1017606684571775E-2</v>
      </c>
      <c r="O9" s="11">
        <f>Pending_2_Weeks[[#This Row],[MD | Baltimore]]/Listings_New[[#This Row],[MD | Baltimore]]</f>
        <v>0.12815750371471024</v>
      </c>
      <c r="P9" s="11">
        <f>Pending_2_Weeks[[#This Row],[NV | Las Vegas]]/Listings_New[[#This Row],[NV | Las Vegas]]</f>
        <v>2.2959561546437565E-2</v>
      </c>
      <c r="Q9" s="11">
        <f>Pending_2_Weeks[[#This Row],[NY | Long Island]]/Listings_New[[#This Row],[NY | Long Island]]</f>
        <v>4.4934857750598245E-2</v>
      </c>
      <c r="R9" s="11">
        <f>Pending_2_Weeks[[#This Row],[OR | Portland]]/Listings_New[[#This Row],[OR | Portland]]</f>
        <v>0.10758885686839577</v>
      </c>
      <c r="S9" s="11"/>
      <c r="T9" s="11"/>
      <c r="U9" s="11">
        <f>Pending_2_Weeks[[#This Row],[WA | Seattle]]/Listings_New[[#This Row],[WA | Seattle]]</f>
        <v>0.12132040156542453</v>
      </c>
      <c r="V9" s="8"/>
      <c r="W9" s="8"/>
    </row>
    <row r="10" spans="1:23" x14ac:dyDescent="0.25">
      <c r="A10" s="5">
        <v>40422</v>
      </c>
      <c r="B10" s="10">
        <f>Pending_2_Weeks[[#This Row],[National]]/Listings_New[[#This Row],[National]]</f>
        <v>0.12702870077731271</v>
      </c>
      <c r="C10" s="11">
        <f>Pending_2_Weeks[[#This Row],[AZ | Phoenix]]/Listings_New[[#This Row],[AZ | Phoenix]]</f>
        <v>0.14695973046686989</v>
      </c>
      <c r="D10" s="11">
        <f>Pending_2_Weeks[[#This Row],[CA | Inland Empire]]/Listings_New[[#This Row],[CA | Inland Empire]]</f>
        <v>0.15079453272585844</v>
      </c>
      <c r="E10" s="11">
        <f>Pending_2_Weeks[[#This Row],[CA | Los Angeles]]/Listings_New[[#This Row],[CA | Los Angeles]]</f>
        <v>0.15625586193959856</v>
      </c>
      <c r="F10" s="11">
        <f>Pending_2_Weeks[[#This Row],[CA | Sacramento]]/Listings_New[[#This Row],[CA | Sacramento]]</f>
        <v>3.8461538461538464E-2</v>
      </c>
      <c r="G10" s="11">
        <f>Pending_2_Weeks[[#This Row],[CA | San Diego]]/Listings_New[[#This Row],[CA | San Diego]]</f>
        <v>0.15391432791728213</v>
      </c>
      <c r="H10" s="11">
        <f>Pending_2_Weeks[[#This Row],[CA | San Francisco]]/Listings_New[[#This Row],[CA | San Francisco]]</f>
        <v>0.19110621095185593</v>
      </c>
      <c r="I10" s="11">
        <f>Pending_2_Weeks[[#This Row],[CA | San Jose]]/Listings_New[[#This Row],[CA | San Jose]]</f>
        <v>0.23108747044917258</v>
      </c>
      <c r="J10" s="11">
        <f>Pending_2_Weeks[[#This Row],[CA | Ventura]]/Listings_New[[#This Row],[CA | Ventura]]</f>
        <v>7.3426573426573424E-2</v>
      </c>
      <c r="K10" s="11">
        <f>Pending_2_Weeks[[#This Row],[CO | Denver]]/Listings_New[[#This Row],[CO | Denver]]</f>
        <v>3.072299215227918E-2</v>
      </c>
      <c r="L10" s="11">
        <f>Pending_2_Weeks[[#This Row],[DC | Washington]]/Listings_New[[#This Row],[DC | Washington]]</f>
        <v>0.21296156744536548</v>
      </c>
      <c r="M10" s="11">
        <f>Pending_2_Weeks[[#This Row],[IL | Chicago]]/Listings_New[[#This Row],[IL | Chicago]]</f>
        <v>0.11786079255137959</v>
      </c>
      <c r="N10" s="11">
        <f>Pending_2_Weeks[[#This Row],[MA | Boston]]/Listings_New[[#This Row],[MA | Boston]]</f>
        <v>8.085002442598925E-2</v>
      </c>
      <c r="O10" s="11">
        <f>Pending_2_Weeks[[#This Row],[MD | Baltimore]]/Listings_New[[#This Row],[MD | Baltimore]]</f>
        <v>0.12637571157495256</v>
      </c>
      <c r="P10" s="11">
        <f>Pending_2_Weeks[[#This Row],[NV | Las Vegas]]/Listings_New[[#This Row],[NV | Las Vegas]]</f>
        <v>3.71900826446281E-2</v>
      </c>
      <c r="Q10" s="11">
        <f>Pending_2_Weeks[[#This Row],[NY | Long Island]]/Listings_New[[#This Row],[NY | Long Island]]</f>
        <v>4.3678160919540229E-2</v>
      </c>
      <c r="R10" s="11">
        <f>Pending_2_Weeks[[#This Row],[OR | Portland]]/Listings_New[[#This Row],[OR | Portland]]</f>
        <v>0.11181434599156118</v>
      </c>
      <c r="S10" s="11"/>
      <c r="T10" s="11">
        <f>Pending_2_Weeks[[#This Row],[TX | Austin]]/Listings_New[[#This Row],[TX | Austin]]</f>
        <v>6.9970845481049565E-2</v>
      </c>
      <c r="U10" s="11">
        <f>Pending_2_Weeks[[#This Row],[WA | Seattle]]/Listings_New[[#This Row],[WA | Seattle]]</f>
        <v>0.12996644887868622</v>
      </c>
      <c r="V10" s="8"/>
      <c r="W10" s="8"/>
    </row>
    <row r="11" spans="1:23" x14ac:dyDescent="0.25">
      <c r="A11" s="5">
        <v>40452</v>
      </c>
      <c r="B11" s="10">
        <f>Pending_2_Weeks[[#This Row],[National]]/Listings_New[[#This Row],[National]]</f>
        <v>0.13262556145365456</v>
      </c>
      <c r="C11" s="11">
        <f>Pending_2_Weeks[[#This Row],[AZ | Phoenix]]/Listings_New[[#This Row],[AZ | Phoenix]]</f>
        <v>0.1495806948485367</v>
      </c>
      <c r="D11" s="11">
        <f>Pending_2_Weeks[[#This Row],[CA | Inland Empire]]/Listings_New[[#This Row],[CA | Inland Empire]]</f>
        <v>0.14205691239076854</v>
      </c>
      <c r="E11" s="11">
        <f>Pending_2_Weeks[[#This Row],[CA | Los Angeles]]/Listings_New[[#This Row],[CA | Los Angeles]]</f>
        <v>0.17116073309458604</v>
      </c>
      <c r="F11" s="11">
        <f>Pending_2_Weeks[[#This Row],[CA | Sacramento]]/Listings_New[[#This Row],[CA | Sacramento]]</f>
        <v>7.8758949880668255E-2</v>
      </c>
      <c r="G11" s="11">
        <f>Pending_2_Weeks[[#This Row],[CA | San Diego]]/Listings_New[[#This Row],[CA | San Diego]]</f>
        <v>0.16295310941137348</v>
      </c>
      <c r="H11" s="11">
        <f>Pending_2_Weeks[[#This Row],[CA | San Francisco]]/Listings_New[[#This Row],[CA | San Francisco]]</f>
        <v>0.1834941050375134</v>
      </c>
      <c r="I11" s="11">
        <f>Pending_2_Weeks[[#This Row],[CA | San Jose]]/Listings_New[[#This Row],[CA | San Jose]]</f>
        <v>0.25262421273617913</v>
      </c>
      <c r="J11" s="11">
        <f>Pending_2_Weeks[[#This Row],[CA | Ventura]]/Listings_New[[#This Row],[CA | Ventura]]</f>
        <v>7.7764277035236931E-2</v>
      </c>
      <c r="K11" s="11">
        <f>Pending_2_Weeks[[#This Row],[CO | Denver]]/Listings_New[[#This Row],[CO | Denver]]</f>
        <v>3.2251797163396156E-2</v>
      </c>
      <c r="L11" s="11">
        <f>Pending_2_Weeks[[#This Row],[DC | Washington]]/Listings_New[[#This Row],[DC | Washington]]</f>
        <v>0.21824267782426779</v>
      </c>
      <c r="M11" s="11">
        <f>Pending_2_Weeks[[#This Row],[IL | Chicago]]/Listings_New[[#This Row],[IL | Chicago]]</f>
        <v>0.11795841209829867</v>
      </c>
      <c r="N11" s="11">
        <f>Pending_2_Weeks[[#This Row],[MA | Boston]]/Listings_New[[#This Row],[MA | Boston]]</f>
        <v>9.0078740157480311E-2</v>
      </c>
      <c r="O11" s="11">
        <f>Pending_2_Weeks[[#This Row],[MD | Baltimore]]/Listings_New[[#This Row],[MD | Baltimore]]</f>
        <v>0.1220125786163522</v>
      </c>
      <c r="P11" s="11">
        <f>Pending_2_Weeks[[#This Row],[NV | Las Vegas]]/Listings_New[[#This Row],[NV | Las Vegas]]</f>
        <v>6.733247422680412E-2</v>
      </c>
      <c r="Q11" s="11">
        <f>Pending_2_Weeks[[#This Row],[NY | Long Island]]/Listings_New[[#This Row],[NY | Long Island]]</f>
        <v>5.4220579174368455E-2</v>
      </c>
      <c r="R11" s="11">
        <f>Pending_2_Weeks[[#This Row],[OR | Portland]]/Listings_New[[#This Row],[OR | Portland]]</f>
        <v>0.10689252336448599</v>
      </c>
      <c r="S11" s="11"/>
      <c r="T11" s="11">
        <f>Pending_2_Weeks[[#This Row],[TX | Austin]]/Listings_New[[#This Row],[TX | Austin]]</f>
        <v>9.4732543895467536E-2</v>
      </c>
      <c r="U11" s="11">
        <f>Pending_2_Weeks[[#This Row],[WA | Seattle]]/Listings_New[[#This Row],[WA | Seattle]]</f>
        <v>0.14054866591506951</v>
      </c>
      <c r="V11" s="8"/>
      <c r="W11" s="8"/>
    </row>
    <row r="12" spans="1:23" x14ac:dyDescent="0.25">
      <c r="A12" s="5">
        <v>40483</v>
      </c>
      <c r="B12" s="10">
        <f>Pending_2_Weeks[[#This Row],[National]]/Listings_New[[#This Row],[National]]</f>
        <v>0.13132897852069486</v>
      </c>
      <c r="C12" s="11">
        <f>Pending_2_Weeks[[#This Row],[AZ | Phoenix]]/Listings_New[[#This Row],[AZ | Phoenix]]</f>
        <v>0.14966750960007494</v>
      </c>
      <c r="D12" s="11">
        <f>Pending_2_Weeks[[#This Row],[CA | Inland Empire]]/Listings_New[[#This Row],[CA | Inland Empire]]</f>
        <v>0.14510309278350517</v>
      </c>
      <c r="E12" s="11">
        <f>Pending_2_Weeks[[#This Row],[CA | Los Angeles]]/Listings_New[[#This Row],[CA | Los Angeles]]</f>
        <v>0.16355026711996115</v>
      </c>
      <c r="F12" s="11">
        <f>Pending_2_Weeks[[#This Row],[CA | Sacramento]]/Listings_New[[#This Row],[CA | Sacramento]]</f>
        <v>2.9787234042553193E-2</v>
      </c>
      <c r="G12" s="11">
        <f>Pending_2_Weeks[[#This Row],[CA | San Diego]]/Listings_New[[#This Row],[CA | San Diego]]</f>
        <v>0.15494546822113575</v>
      </c>
      <c r="H12" s="11">
        <f>Pending_2_Weeks[[#This Row],[CA | San Francisco]]/Listings_New[[#This Row],[CA | San Francisco]]</f>
        <v>0.19566425792106726</v>
      </c>
      <c r="I12" s="11">
        <f>Pending_2_Weeks[[#This Row],[CA | San Jose]]/Listings_New[[#This Row],[CA | San Jose]]</f>
        <v>0.24143835616438356</v>
      </c>
      <c r="J12" s="11">
        <f>Pending_2_Weeks[[#This Row],[CA | Ventura]]/Listings_New[[#This Row],[CA | Ventura]]</f>
        <v>9.8011363636363633E-2</v>
      </c>
      <c r="K12" s="11">
        <f>Pending_2_Weeks[[#This Row],[CO | Denver]]/Listings_New[[#This Row],[CO | Denver]]</f>
        <v>3.0132288094071532E-2</v>
      </c>
      <c r="L12" s="11">
        <f>Pending_2_Weeks[[#This Row],[DC | Washington]]/Listings_New[[#This Row],[DC | Washington]]</f>
        <v>0.21339793553823466</v>
      </c>
      <c r="M12" s="11">
        <f>Pending_2_Weeks[[#This Row],[IL | Chicago]]/Listings_New[[#This Row],[IL | Chicago]]</f>
        <v>0.11161411177021542</v>
      </c>
      <c r="N12" s="11">
        <f>Pending_2_Weeks[[#This Row],[MA | Boston]]/Listings_New[[#This Row],[MA | Boston]]</f>
        <v>0.1014760147601476</v>
      </c>
      <c r="O12" s="11">
        <f>Pending_2_Weeks[[#This Row],[MD | Baltimore]]/Listings_New[[#This Row],[MD | Baltimore]]</f>
        <v>0.12435500515995872</v>
      </c>
      <c r="P12" s="11">
        <f>Pending_2_Weeks[[#This Row],[NV | Las Vegas]]/Listings_New[[#This Row],[NV | Las Vegas]]</f>
        <v>5.3231939163498096E-2</v>
      </c>
      <c r="Q12" s="11">
        <f>Pending_2_Weeks[[#This Row],[NY | Long Island]]/Listings_New[[#This Row],[NY | Long Island]]</f>
        <v>5.4146156758803486E-2</v>
      </c>
      <c r="R12" s="11">
        <f>Pending_2_Weeks[[#This Row],[OR | Portland]]/Listings_New[[#This Row],[OR | Portland]]</f>
        <v>0.1044776119402985</v>
      </c>
      <c r="S12" s="11"/>
      <c r="T12" s="11">
        <f>Pending_2_Weeks[[#This Row],[TX | Austin]]/Listings_New[[#This Row],[TX | Austin]]</f>
        <v>0.10263600673022995</v>
      </c>
      <c r="U12" s="11">
        <f>Pending_2_Weeks[[#This Row],[WA | Seattle]]/Listings_New[[#This Row],[WA | Seattle]]</f>
        <v>0.12539643815564772</v>
      </c>
      <c r="V12" s="8"/>
      <c r="W12" s="8"/>
    </row>
    <row r="13" spans="1:23" x14ac:dyDescent="0.25">
      <c r="A13" s="5">
        <v>40513</v>
      </c>
      <c r="B13" s="10">
        <f>Pending_2_Weeks[[#This Row],[National]]/Listings_New[[#This Row],[National]]</f>
        <v>0.12382021406099315</v>
      </c>
      <c r="C13" s="11">
        <f>Pending_2_Weeks[[#This Row],[AZ | Phoenix]]/Listings_New[[#This Row],[AZ | Phoenix]]</f>
        <v>0.14539282250242483</v>
      </c>
      <c r="D13" s="11">
        <f>Pending_2_Weeks[[#This Row],[CA | Inland Empire]]/Listings_New[[#This Row],[CA | Inland Empire]]</f>
        <v>0.11877188257473741</v>
      </c>
      <c r="E13" s="11">
        <f>Pending_2_Weeks[[#This Row],[CA | Los Angeles]]/Listings_New[[#This Row],[CA | Los Angeles]]</f>
        <v>0.15230978260869565</v>
      </c>
      <c r="F13" s="11">
        <f>Pending_2_Weeks[[#This Row],[CA | Sacramento]]/Listings_New[[#This Row],[CA | Sacramento]]</f>
        <v>4.8598130841121495E-2</v>
      </c>
      <c r="G13" s="11">
        <f>Pending_2_Weeks[[#This Row],[CA | San Diego]]/Listings_New[[#This Row],[CA | San Diego]]</f>
        <v>0.14110929853181076</v>
      </c>
      <c r="H13" s="11">
        <f>Pending_2_Weeks[[#This Row],[CA | San Francisco]]/Listings_New[[#This Row],[CA | San Francisco]]</f>
        <v>0.19652230971128609</v>
      </c>
      <c r="I13" s="11">
        <f>Pending_2_Weeks[[#This Row],[CA | San Jose]]/Listings_New[[#This Row],[CA | San Jose]]</f>
        <v>0.22268470343392299</v>
      </c>
      <c r="J13" s="11">
        <f>Pending_2_Weeks[[#This Row],[CA | Ventura]]/Listings_New[[#This Row],[CA | Ventura]]</f>
        <v>8.6232980332829043E-2</v>
      </c>
      <c r="K13" s="11">
        <f>Pending_2_Weeks[[#This Row],[CO | Denver]]/Listings_New[[#This Row],[CO | Denver]]</f>
        <v>4.5897877223178431E-2</v>
      </c>
      <c r="L13" s="11">
        <f>Pending_2_Weeks[[#This Row],[DC | Washington]]/Listings_New[[#This Row],[DC | Washington]]</f>
        <v>0.20537046245648932</v>
      </c>
      <c r="M13" s="11">
        <f>Pending_2_Weeks[[#This Row],[IL | Chicago]]/Listings_New[[#This Row],[IL | Chicago]]</f>
        <v>0.10054016379160133</v>
      </c>
      <c r="N13" s="11">
        <f>Pending_2_Weeks[[#This Row],[MA | Boston]]/Listings_New[[#This Row],[MA | Boston]]</f>
        <v>0.101546738399462</v>
      </c>
      <c r="O13" s="11">
        <f>Pending_2_Weeks[[#This Row],[MD | Baltimore]]/Listings_New[[#This Row],[MD | Baltimore]]</f>
        <v>0.11241065627030539</v>
      </c>
      <c r="P13" s="11">
        <f>Pending_2_Weeks[[#This Row],[NV | Las Vegas]]/Listings_New[[#This Row],[NV | Las Vegas]]</f>
        <v>5.7988402319536093E-2</v>
      </c>
      <c r="Q13" s="11">
        <f>Pending_2_Weeks[[#This Row],[NY | Long Island]]/Listings_New[[#This Row],[NY | Long Island]]</f>
        <v>5.7577403585008145E-2</v>
      </c>
      <c r="R13" s="11">
        <f>Pending_2_Weeks[[#This Row],[OR | Portland]]/Listings_New[[#This Row],[OR | Portland]]</f>
        <v>9.9624060150375934E-2</v>
      </c>
      <c r="S13" s="11"/>
      <c r="T13" s="11">
        <f>Pending_2_Weeks[[#This Row],[TX | Austin]]/Listings_New[[#This Row],[TX | Austin]]</f>
        <v>0.10854206807964033</v>
      </c>
      <c r="U13" s="11">
        <f>Pending_2_Weeks[[#This Row],[WA | Seattle]]/Listings_New[[#This Row],[WA | Seattle]]</f>
        <v>0.11459459459459459</v>
      </c>
      <c r="V13" s="8"/>
      <c r="W13" s="8"/>
    </row>
    <row r="14" spans="1:23" x14ac:dyDescent="0.25">
      <c r="A14" s="5">
        <v>40544</v>
      </c>
      <c r="B14" s="10">
        <f>Pending_2_Weeks[[#This Row],[National]]/Listings_New[[#This Row],[National]]</f>
        <v>0.13842450908853288</v>
      </c>
      <c r="C14" s="11">
        <f>Pending_2_Weeks[[#This Row],[AZ | Phoenix]]/Listings_New[[#This Row],[AZ | Phoenix]]</f>
        <v>0.17106466821476321</v>
      </c>
      <c r="D14" s="11">
        <f>Pending_2_Weeks[[#This Row],[CA | Inland Empire]]/Listings_New[[#This Row],[CA | Inland Empire]]</f>
        <v>0.12901921132457028</v>
      </c>
      <c r="E14" s="11">
        <f>Pending_2_Weeks[[#This Row],[CA | Los Angeles]]/Listings_New[[#This Row],[CA | Los Angeles]]</f>
        <v>0.17147633292275208</v>
      </c>
      <c r="F14" s="11">
        <f>Pending_2_Weeks[[#This Row],[CA | Sacramento]]/Listings_New[[#This Row],[CA | Sacramento]]</f>
        <v>1.6741071428571428E-2</v>
      </c>
      <c r="G14" s="11">
        <f>Pending_2_Weeks[[#This Row],[CA | San Diego]]/Listings_New[[#This Row],[CA | San Diego]]</f>
        <v>0.14736310875599293</v>
      </c>
      <c r="H14" s="11">
        <f>Pending_2_Weeks[[#This Row],[CA | San Francisco]]/Listings_New[[#This Row],[CA | San Francisco]]</f>
        <v>0.21079958463136034</v>
      </c>
      <c r="I14" s="11">
        <f>Pending_2_Weeks[[#This Row],[CA | San Jose]]/Listings_New[[#This Row],[CA | San Jose]]</f>
        <v>0.28656914893617019</v>
      </c>
      <c r="J14" s="11">
        <f>Pending_2_Weeks[[#This Row],[CA | Ventura]]/Listings_New[[#This Row],[CA | Ventura]]</f>
        <v>8.9694656488549615E-2</v>
      </c>
      <c r="K14" s="11">
        <f>Pending_2_Weeks[[#This Row],[CO | Denver]]/Listings_New[[#This Row],[CO | Denver]]</f>
        <v>8.3892617449664433E-2</v>
      </c>
      <c r="L14" s="11">
        <f>Pending_2_Weeks[[#This Row],[DC | Washington]]/Listings_New[[#This Row],[DC | Washington]]</f>
        <v>0.23457716107256704</v>
      </c>
      <c r="M14" s="11">
        <f>Pending_2_Weeks[[#This Row],[IL | Chicago]]/Listings_New[[#This Row],[IL | Chicago]]</f>
        <v>0.1041692440925399</v>
      </c>
      <c r="N14" s="11">
        <f>Pending_2_Weeks[[#This Row],[MA | Boston]]/Listings_New[[#This Row],[MA | Boston]]</f>
        <v>9.5321381722780929E-2</v>
      </c>
      <c r="O14" s="11">
        <f>Pending_2_Weeks[[#This Row],[MD | Baltimore]]/Listings_New[[#This Row],[MD | Baltimore]]</f>
        <v>0.14109521460286137</v>
      </c>
      <c r="P14" s="11">
        <f>Pending_2_Weeks[[#This Row],[NV | Las Vegas]]/Listings_New[[#This Row],[NV | Las Vegas]]</f>
        <v>5.4365206267988485E-2</v>
      </c>
      <c r="Q14" s="11">
        <f>Pending_2_Weeks[[#This Row],[NY | Long Island]]/Listings_New[[#This Row],[NY | Long Island]]</f>
        <v>4.5734388742304309E-2</v>
      </c>
      <c r="R14" s="11">
        <f>Pending_2_Weeks[[#This Row],[OR | Portland]]/Listings_New[[#This Row],[OR | Portland]]</f>
        <v>0.10002942041776994</v>
      </c>
      <c r="S14" s="11"/>
      <c r="T14" s="11">
        <f>Pending_2_Weeks[[#This Row],[TX | Austin]]/Listings_New[[#This Row],[TX | Austin]]</f>
        <v>0.12590080542602797</v>
      </c>
      <c r="U14" s="11">
        <f>Pending_2_Weeks[[#This Row],[WA | Seattle]]/Listings_New[[#This Row],[WA | Seattle]]</f>
        <v>0.13103940096273844</v>
      </c>
      <c r="V14" s="8"/>
      <c r="W14" s="8"/>
    </row>
    <row r="15" spans="1:23" x14ac:dyDescent="0.25">
      <c r="A15" s="5">
        <v>40575</v>
      </c>
      <c r="B15" s="10">
        <f>Pending_2_Weeks[[#This Row],[National]]/Listings_New[[#This Row],[National]]</f>
        <v>0.17302733064069806</v>
      </c>
      <c r="C15" s="11">
        <f>Pending_2_Weeks[[#This Row],[AZ | Phoenix]]/Listings_New[[#This Row],[AZ | Phoenix]]</f>
        <v>0.23745251757859856</v>
      </c>
      <c r="D15" s="11">
        <f>Pending_2_Weeks[[#This Row],[CA | Inland Empire]]/Listings_New[[#This Row],[CA | Inland Empire]]</f>
        <v>0.16230777865080256</v>
      </c>
      <c r="E15" s="11">
        <f>Pending_2_Weeks[[#This Row],[CA | Los Angeles]]/Listings_New[[#This Row],[CA | Los Angeles]]</f>
        <v>0.18766185719570846</v>
      </c>
      <c r="F15" s="11">
        <f>Pending_2_Weeks[[#This Row],[CA | Sacramento]]/Listings_New[[#This Row],[CA | Sacramento]]</f>
        <v>0.18208955223880596</v>
      </c>
      <c r="G15" s="11">
        <f>Pending_2_Weeks[[#This Row],[CA | San Diego]]/Listings_New[[#This Row],[CA | San Diego]]</f>
        <v>0.17520755797308904</v>
      </c>
      <c r="H15" s="11">
        <f>Pending_2_Weeks[[#This Row],[CA | San Francisco]]/Listings_New[[#This Row],[CA | San Francisco]]</f>
        <v>0.24334450798659041</v>
      </c>
      <c r="I15" s="11">
        <f>Pending_2_Weeks[[#This Row],[CA | San Jose]]/Listings_New[[#This Row],[CA | San Jose]]</f>
        <v>0.32085216268560363</v>
      </c>
      <c r="J15" s="11">
        <f>Pending_2_Weeks[[#This Row],[CA | Ventura]]/Listings_New[[#This Row],[CA | Ventura]]</f>
        <v>0.10576923076923077</v>
      </c>
      <c r="K15" s="11">
        <f>Pending_2_Weeks[[#This Row],[CO | Denver]]/Listings_New[[#This Row],[CO | Denver]]</f>
        <v>0.1012965964343598</v>
      </c>
      <c r="L15" s="11">
        <f>Pending_2_Weeks[[#This Row],[DC | Washington]]/Listings_New[[#This Row],[DC | Washington]]</f>
        <v>0.25681438902280734</v>
      </c>
      <c r="M15" s="11">
        <f>Pending_2_Weeks[[#This Row],[IL | Chicago]]/Listings_New[[#This Row],[IL | Chicago]]</f>
        <v>0.11601755348326934</v>
      </c>
      <c r="N15" s="11">
        <f>Pending_2_Weeks[[#This Row],[MA | Boston]]/Listings_New[[#This Row],[MA | Boston]]</f>
        <v>0.10070360598065084</v>
      </c>
      <c r="O15" s="11">
        <f>Pending_2_Weeks[[#This Row],[MD | Baltimore]]/Listings_New[[#This Row],[MD | Baltimore]]</f>
        <v>0.14844136566056407</v>
      </c>
      <c r="P15" s="11">
        <f>Pending_2_Weeks[[#This Row],[NV | Las Vegas]]/Listings_New[[#This Row],[NV | Las Vegas]]</f>
        <v>0.10860578729800827</v>
      </c>
      <c r="Q15" s="11">
        <f>Pending_2_Weeks[[#This Row],[NY | Long Island]]/Listings_New[[#This Row],[NY | Long Island]]</f>
        <v>4.8957988752894477E-2</v>
      </c>
      <c r="R15" s="11">
        <f>Pending_2_Weeks[[#This Row],[OR | Portland]]/Listings_New[[#This Row],[OR | Portland]]</f>
        <v>0.13242894056847546</v>
      </c>
      <c r="S15" s="11"/>
      <c r="T15" s="11">
        <f>Pending_2_Weeks[[#This Row],[TX | Austin]]/Listings_New[[#This Row],[TX | Austin]]</f>
        <v>0.14328231292517007</v>
      </c>
      <c r="U15" s="11">
        <f>Pending_2_Weeks[[#This Row],[WA | Seattle]]/Listings_New[[#This Row],[WA | Seattle]]</f>
        <v>0.18065764023210831</v>
      </c>
      <c r="V15" s="8"/>
      <c r="W15" s="8"/>
    </row>
    <row r="16" spans="1:23" x14ac:dyDescent="0.25">
      <c r="A16" s="5">
        <v>40603</v>
      </c>
      <c r="B16" s="10">
        <f>Pending_2_Weeks[[#This Row],[National]]/Listings_New[[#This Row],[National]]</f>
        <v>0.16886417488343652</v>
      </c>
      <c r="C16" s="11">
        <f>Pending_2_Weeks[[#This Row],[AZ | Phoenix]]/Listings_New[[#This Row],[AZ | Phoenix]]</f>
        <v>0.22705544933078395</v>
      </c>
      <c r="D16" s="11">
        <f>Pending_2_Weeks[[#This Row],[CA | Inland Empire]]/Listings_New[[#This Row],[CA | Inland Empire]]</f>
        <v>0.16517311608961305</v>
      </c>
      <c r="E16" s="11">
        <f>Pending_2_Weeks[[#This Row],[CA | Los Angeles]]/Listings_New[[#This Row],[CA | Los Angeles]]</f>
        <v>0.19373521494412269</v>
      </c>
      <c r="F16" s="11">
        <f>Pending_2_Weeks[[#This Row],[CA | Sacramento]]/Listings_New[[#This Row],[CA | Sacramento]]</f>
        <v>4.8245614035087717E-2</v>
      </c>
      <c r="G16" s="11">
        <f>Pending_2_Weeks[[#This Row],[CA | San Diego]]/Listings_New[[#This Row],[CA | San Diego]]</f>
        <v>0.17911900705767828</v>
      </c>
      <c r="H16" s="11">
        <f>Pending_2_Weeks[[#This Row],[CA | San Francisco]]/Listings_New[[#This Row],[CA | San Francisco]]</f>
        <v>0.22793103448275862</v>
      </c>
      <c r="I16" s="11">
        <f>Pending_2_Weeks[[#This Row],[CA | San Jose]]/Listings_New[[#This Row],[CA | San Jose]]</f>
        <v>0.32527472527472528</v>
      </c>
      <c r="J16" s="11">
        <f>Pending_2_Weeks[[#This Row],[CA | Ventura]]/Listings_New[[#This Row],[CA | Ventura]]</f>
        <v>0.10588235294117647</v>
      </c>
      <c r="K16" s="11">
        <f>Pending_2_Weeks[[#This Row],[CO | Denver]]/Listings_New[[#This Row],[CO | Denver]]</f>
        <v>0.11613897450266181</v>
      </c>
      <c r="L16" s="11">
        <f>Pending_2_Weeks[[#This Row],[DC | Washington]]/Listings_New[[#This Row],[DC | Washington]]</f>
        <v>0.28889195910472504</v>
      </c>
      <c r="M16" s="11">
        <f>Pending_2_Weeks[[#This Row],[IL | Chicago]]/Listings_New[[#This Row],[IL | Chicago]]</f>
        <v>0.12513956084852995</v>
      </c>
      <c r="N16" s="11">
        <f>Pending_2_Weeks[[#This Row],[MA | Boston]]/Listings_New[[#This Row],[MA | Boston]]</f>
        <v>0.1071813672633168</v>
      </c>
      <c r="O16" s="11">
        <f>Pending_2_Weeks[[#This Row],[MD | Baltimore]]/Listings_New[[#This Row],[MD | Baltimore]]</f>
        <v>0.18555632342778161</v>
      </c>
      <c r="P16" s="11">
        <f>Pending_2_Weeks[[#This Row],[NV | Las Vegas]]/Listings_New[[#This Row],[NV | Las Vegas]]</f>
        <v>6.6645046213718181E-2</v>
      </c>
      <c r="Q16" s="11">
        <f>Pending_2_Weeks[[#This Row],[NY | Long Island]]/Listings_New[[#This Row],[NY | Long Island]]</f>
        <v>5.3768084646944506E-2</v>
      </c>
      <c r="R16" s="11">
        <f>Pending_2_Weeks[[#This Row],[OR | Portland]]/Listings_New[[#This Row],[OR | Portland]]</f>
        <v>0.14636283961437335</v>
      </c>
      <c r="S16" s="11"/>
      <c r="T16" s="11">
        <f>Pending_2_Weeks[[#This Row],[TX | Austin]]/Listings_New[[#This Row],[TX | Austin]]</f>
        <v>0.14671702498547357</v>
      </c>
      <c r="U16" s="11">
        <f>Pending_2_Weeks[[#This Row],[WA | Seattle]]/Listings_New[[#This Row],[WA | Seattle]]</f>
        <v>0.17509084902543773</v>
      </c>
      <c r="V16" s="8"/>
      <c r="W16" s="8"/>
    </row>
    <row r="17" spans="1:23" x14ac:dyDescent="0.25">
      <c r="A17" s="5">
        <v>40634</v>
      </c>
      <c r="B17" s="10">
        <f>Pending_2_Weeks[[#This Row],[National]]/Listings_New[[#This Row],[National]]</f>
        <v>0.17183427427064779</v>
      </c>
      <c r="C17" s="11">
        <f>Pending_2_Weeks[[#This Row],[AZ | Phoenix]]/Listings_New[[#This Row],[AZ | Phoenix]]</f>
        <v>0.26851041484333976</v>
      </c>
      <c r="D17" s="11">
        <f>Pending_2_Weeks[[#This Row],[CA | Inland Empire]]/Listings_New[[#This Row],[CA | Inland Empire]]</f>
        <v>0.17295633337133737</v>
      </c>
      <c r="E17" s="11">
        <f>Pending_2_Weeks[[#This Row],[CA | Los Angeles]]/Listings_New[[#This Row],[CA | Los Angeles]]</f>
        <v>0.19050565770862801</v>
      </c>
      <c r="F17" s="11">
        <f>Pending_2_Weeks[[#This Row],[CA | Sacramento]]/Listings_New[[#This Row],[CA | Sacramento]]</f>
        <v>3.8062283737024222E-2</v>
      </c>
      <c r="G17" s="11">
        <f>Pending_2_Weeks[[#This Row],[CA | San Diego]]/Listings_New[[#This Row],[CA | San Diego]]</f>
        <v>0.17849519743863393</v>
      </c>
      <c r="H17" s="11">
        <f>Pending_2_Weeks[[#This Row],[CA | San Francisco]]/Listings_New[[#This Row],[CA | San Francisco]]</f>
        <v>0.24464446444644464</v>
      </c>
      <c r="I17" s="11">
        <f>Pending_2_Weeks[[#This Row],[CA | San Jose]]/Listings_New[[#This Row],[CA | San Jose]]</f>
        <v>0.2950191570881226</v>
      </c>
      <c r="J17" s="11">
        <f>Pending_2_Weeks[[#This Row],[CA | Ventura]]/Listings_New[[#This Row],[CA | Ventura]]</f>
        <v>9.0355329949238575E-2</v>
      </c>
      <c r="K17" s="11">
        <f>Pending_2_Weeks[[#This Row],[CO | Denver]]/Listings_New[[#This Row],[CO | Denver]]</f>
        <v>0.12676853423882287</v>
      </c>
      <c r="L17" s="11">
        <f>Pending_2_Weeks[[#This Row],[DC | Washington]]/Listings_New[[#This Row],[DC | Washington]]</f>
        <v>0.23929763459584966</v>
      </c>
      <c r="M17" s="11">
        <f>Pending_2_Weeks[[#This Row],[IL | Chicago]]/Listings_New[[#This Row],[IL | Chicago]]</f>
        <v>0.14471447144714472</v>
      </c>
      <c r="N17" s="11">
        <f>Pending_2_Weeks[[#This Row],[MA | Boston]]/Listings_New[[#This Row],[MA | Boston]]</f>
        <v>9.2981403719256145E-2</v>
      </c>
      <c r="O17" s="11">
        <f>Pending_2_Weeks[[#This Row],[MD | Baltimore]]/Listings_New[[#This Row],[MD | Baltimore]]</f>
        <v>0.14188706218727662</v>
      </c>
      <c r="P17" s="11">
        <f>Pending_2_Weeks[[#This Row],[NV | Las Vegas]]/Listings_New[[#This Row],[NV | Las Vegas]]</f>
        <v>6.1897106109324758E-2</v>
      </c>
      <c r="Q17" s="11">
        <f>Pending_2_Weeks[[#This Row],[NY | Long Island]]/Listings_New[[#This Row],[NY | Long Island]]</f>
        <v>3.4886557696999269E-2</v>
      </c>
      <c r="R17" s="11">
        <f>Pending_2_Weeks[[#This Row],[OR | Portland]]/Listings_New[[#This Row],[OR | Portland]]</f>
        <v>0.1737733644859813</v>
      </c>
      <c r="S17" s="11"/>
      <c r="T17" s="11">
        <f>Pending_2_Weeks[[#This Row],[TX | Austin]]/Listings_New[[#This Row],[TX | Austin]]</f>
        <v>0.16523867809057527</v>
      </c>
      <c r="U17" s="11">
        <f>Pending_2_Weeks[[#This Row],[WA | Seattle]]/Listings_New[[#This Row],[WA | Seattle]]</f>
        <v>0.18477905073649756</v>
      </c>
      <c r="V17" s="8"/>
      <c r="W17" s="8"/>
    </row>
    <row r="18" spans="1:23" x14ac:dyDescent="0.25">
      <c r="A18" s="5">
        <v>40664</v>
      </c>
      <c r="B18" s="10">
        <f>Pending_2_Weeks[[#This Row],[National]]/Listings_New[[#This Row],[National]]</f>
        <v>0.16942265137799237</v>
      </c>
      <c r="C18" s="11">
        <f>Pending_2_Weeks[[#This Row],[AZ | Phoenix]]/Listings_New[[#This Row],[AZ | Phoenix]]</f>
        <v>0.27298125450612831</v>
      </c>
      <c r="D18" s="11">
        <f>Pending_2_Weeks[[#This Row],[CA | Inland Empire]]/Listings_New[[#This Row],[CA | Inland Empire]]</f>
        <v>0.16579486013190811</v>
      </c>
      <c r="E18" s="11">
        <f>Pending_2_Weeks[[#This Row],[CA | Los Angeles]]/Listings_New[[#This Row],[CA | Los Angeles]]</f>
        <v>0.17827637185842246</v>
      </c>
      <c r="F18" s="11">
        <f>Pending_2_Weeks[[#This Row],[CA | Sacramento]]/Listings_New[[#This Row],[CA | Sacramento]]</f>
        <v>5.2868391451068614E-2</v>
      </c>
      <c r="G18" s="11">
        <f>Pending_2_Weeks[[#This Row],[CA | San Diego]]/Listings_New[[#This Row],[CA | San Diego]]</f>
        <v>0.18132716049382716</v>
      </c>
      <c r="H18" s="11">
        <f>Pending_2_Weeks[[#This Row],[CA | San Francisco]]/Listings_New[[#This Row],[CA | San Francisco]]</f>
        <v>0.24665321841188337</v>
      </c>
      <c r="I18" s="11">
        <f>Pending_2_Weeks[[#This Row],[CA | San Jose]]/Listings_New[[#This Row],[CA | San Jose]]</f>
        <v>0.31847826086956521</v>
      </c>
      <c r="J18" s="11">
        <f>Pending_2_Weeks[[#This Row],[CA | Ventura]]/Listings_New[[#This Row],[CA | Ventura]]</f>
        <v>9.3113482056256067E-2</v>
      </c>
      <c r="K18" s="11">
        <f>Pending_2_Weeks[[#This Row],[CO | Denver]]/Listings_New[[#This Row],[CO | Denver]]</f>
        <v>0.13060546580099652</v>
      </c>
      <c r="L18" s="11">
        <f>Pending_2_Weeks[[#This Row],[DC | Washington]]/Listings_New[[#This Row],[DC | Washington]]</f>
        <v>0.24547884887560936</v>
      </c>
      <c r="M18" s="11">
        <f>Pending_2_Weeks[[#This Row],[IL | Chicago]]/Listings_New[[#This Row],[IL | Chicago]]</f>
        <v>0.13941785890478539</v>
      </c>
      <c r="N18" s="11">
        <f>Pending_2_Weeks[[#This Row],[MA | Boston]]/Listings_New[[#This Row],[MA | Boston]]</f>
        <v>8.3903045369794899E-2</v>
      </c>
      <c r="O18" s="11">
        <f>Pending_2_Weeks[[#This Row],[MD | Baltimore]]/Listings_New[[#This Row],[MD | Baltimore]]</f>
        <v>0.13649025069637882</v>
      </c>
      <c r="P18" s="11">
        <f>Pending_2_Weeks[[#This Row],[NV | Las Vegas]]/Listings_New[[#This Row],[NV | Las Vegas]]</f>
        <v>5.8142940831868772E-2</v>
      </c>
      <c r="Q18" s="11">
        <f>Pending_2_Weeks[[#This Row],[NY | Long Island]]/Listings_New[[#This Row],[NY | Long Island]]</f>
        <v>5.0491204021018962E-2</v>
      </c>
      <c r="R18" s="11">
        <f>Pending_2_Weeks[[#This Row],[OR | Portland]]/Listings_New[[#This Row],[OR | Portland]]</f>
        <v>0.17373791621911922</v>
      </c>
      <c r="S18" s="11"/>
      <c r="T18" s="11">
        <f>Pending_2_Weeks[[#This Row],[TX | Austin]]/Listings_New[[#This Row],[TX | Austin]]</f>
        <v>0.17402349952365831</v>
      </c>
      <c r="U18" s="11">
        <f>Pending_2_Weeks[[#This Row],[WA | Seattle]]/Listings_New[[#This Row],[WA | Seattle]]</f>
        <v>0.1787607687210073</v>
      </c>
      <c r="V18" s="8"/>
      <c r="W18" s="8"/>
    </row>
    <row r="19" spans="1:23" x14ac:dyDescent="0.25">
      <c r="A19" s="5">
        <v>40695</v>
      </c>
      <c r="B19" s="10">
        <f>Pending_2_Weeks[[#This Row],[National]]/Listings_New[[#This Row],[National]]</f>
        <v>0.16331246891062842</v>
      </c>
      <c r="C19" s="11">
        <f>Pending_2_Weeks[[#This Row],[AZ | Phoenix]]/Listings_New[[#This Row],[AZ | Phoenix]]</f>
        <v>0.27767043886282089</v>
      </c>
      <c r="D19" s="11">
        <f>Pending_2_Weeks[[#This Row],[CA | Inland Empire]]/Listings_New[[#This Row],[CA | Inland Empire]]</f>
        <v>0.1581081081081081</v>
      </c>
      <c r="E19" s="11">
        <f>Pending_2_Weeks[[#This Row],[CA | Los Angeles]]/Listings_New[[#This Row],[CA | Los Angeles]]</f>
        <v>0.17192536047497881</v>
      </c>
      <c r="F19" s="11">
        <f>Pending_2_Weeks[[#This Row],[CA | Sacramento]]/Listings_New[[#This Row],[CA | Sacramento]]</f>
        <v>5.3180396246089674E-2</v>
      </c>
      <c r="G19" s="11">
        <f>Pending_2_Weeks[[#This Row],[CA | San Diego]]/Listings_New[[#This Row],[CA | San Diego]]</f>
        <v>0.17459906880496637</v>
      </c>
      <c r="H19" s="11">
        <f>Pending_2_Weeks[[#This Row],[CA | San Francisco]]/Listings_New[[#This Row],[CA | San Francisco]]</f>
        <v>0.2281705741185158</v>
      </c>
      <c r="I19" s="11">
        <f>Pending_2_Weeks[[#This Row],[CA | San Jose]]/Listings_New[[#This Row],[CA | San Jose]]</f>
        <v>0.28766344513928366</v>
      </c>
      <c r="J19" s="11">
        <f>Pending_2_Weeks[[#This Row],[CA | Ventura]]/Listings_New[[#This Row],[CA | Ventura]]</f>
        <v>9.8690835850956699E-2</v>
      </c>
      <c r="K19" s="11">
        <f>Pending_2_Weeks[[#This Row],[CO | Denver]]/Listings_New[[#This Row],[CO | Denver]]</f>
        <v>0.12930902405392983</v>
      </c>
      <c r="L19" s="11">
        <f>Pending_2_Weeks[[#This Row],[DC | Washington]]/Listings_New[[#This Row],[DC | Washington]]</f>
        <v>0.22347972972972974</v>
      </c>
      <c r="M19" s="11">
        <f>Pending_2_Weeks[[#This Row],[IL | Chicago]]/Listings_New[[#This Row],[IL | Chicago]]</f>
        <v>0.12917617763021375</v>
      </c>
      <c r="N19" s="11">
        <f>Pending_2_Weeks[[#This Row],[MA | Boston]]/Listings_New[[#This Row],[MA | Boston]]</f>
        <v>9.1292134831460675E-2</v>
      </c>
      <c r="O19" s="11">
        <f>Pending_2_Weeks[[#This Row],[MD | Baltimore]]/Listings_New[[#This Row],[MD | Baltimore]]</f>
        <v>0.13153594771241831</v>
      </c>
      <c r="P19" s="11">
        <f>Pending_2_Weeks[[#This Row],[NV | Las Vegas]]/Listings_New[[#This Row],[NV | Las Vegas]]</f>
        <v>4.7929269427640767E-2</v>
      </c>
      <c r="Q19" s="11">
        <f>Pending_2_Weeks[[#This Row],[NY | Long Island]]/Listings_New[[#This Row],[NY | Long Island]]</f>
        <v>4.3301069791136015E-2</v>
      </c>
      <c r="R19" s="11">
        <f>Pending_2_Weeks[[#This Row],[OR | Portland]]/Listings_New[[#This Row],[OR | Portland]]</f>
        <v>0.17011038777243137</v>
      </c>
      <c r="S19" s="11"/>
      <c r="T19" s="11">
        <f>Pending_2_Weeks[[#This Row],[TX | Austin]]/Listings_New[[#This Row],[TX | Austin]]</f>
        <v>0.15926046059033408</v>
      </c>
      <c r="U19" s="11">
        <f>Pending_2_Weeks[[#This Row],[WA | Seattle]]/Listings_New[[#This Row],[WA | Seattle]]</f>
        <v>0.17004376722321285</v>
      </c>
      <c r="V19" s="8"/>
      <c r="W19" s="8"/>
    </row>
    <row r="20" spans="1:23" x14ac:dyDescent="0.25">
      <c r="A20" s="5">
        <v>40725</v>
      </c>
      <c r="B20" s="10">
        <f>Pending_2_Weeks[[#This Row],[National]]/Listings_New[[#This Row],[National]]</f>
        <v>0.1695703341332841</v>
      </c>
      <c r="C20" s="11">
        <f>Pending_2_Weeks[[#This Row],[AZ | Phoenix]]/Listings_New[[#This Row],[AZ | Phoenix]]</f>
        <v>0.29464005851008251</v>
      </c>
      <c r="D20" s="11">
        <f>Pending_2_Weeks[[#This Row],[CA | Inland Empire]]/Listings_New[[#This Row],[CA | Inland Empire]]</f>
        <v>0.17268426294820718</v>
      </c>
      <c r="E20" s="11">
        <f>Pending_2_Weeks[[#This Row],[CA | Los Angeles]]/Listings_New[[#This Row],[CA | Los Angeles]]</f>
        <v>0.17689727083144438</v>
      </c>
      <c r="F20" s="11">
        <f>Pending_2_Weeks[[#This Row],[CA | Sacramento]]/Listings_New[[#This Row],[CA | Sacramento]]</f>
        <v>6.117353308364544E-2</v>
      </c>
      <c r="G20" s="11">
        <f>Pending_2_Weeks[[#This Row],[CA | San Diego]]/Listings_New[[#This Row],[CA | San Diego]]</f>
        <v>0.16894977168949771</v>
      </c>
      <c r="H20" s="11">
        <f>Pending_2_Weeks[[#This Row],[CA | San Francisco]]/Listings_New[[#This Row],[CA | San Francisco]]</f>
        <v>0.24930306650736758</v>
      </c>
      <c r="I20" s="11">
        <f>Pending_2_Weeks[[#This Row],[CA | San Jose]]/Listings_New[[#This Row],[CA | San Jose]]</f>
        <v>0.29032258064516131</v>
      </c>
      <c r="J20" s="11">
        <f>Pending_2_Weeks[[#This Row],[CA | Ventura]]/Listings_New[[#This Row],[CA | Ventura]]</f>
        <v>9.7727272727272732E-2</v>
      </c>
      <c r="K20" s="11">
        <f>Pending_2_Weeks[[#This Row],[CO | Denver]]/Listings_New[[#This Row],[CO | Denver]]</f>
        <v>0.13095024250044907</v>
      </c>
      <c r="L20" s="11">
        <f>Pending_2_Weeks[[#This Row],[DC | Washington]]/Listings_New[[#This Row],[DC | Washington]]</f>
        <v>0.21250735149970593</v>
      </c>
      <c r="M20" s="11">
        <f>Pending_2_Weeks[[#This Row],[IL | Chicago]]/Listings_New[[#This Row],[IL | Chicago]]</f>
        <v>0.13079264855113315</v>
      </c>
      <c r="N20" s="11">
        <f>Pending_2_Weeks[[#This Row],[MA | Boston]]/Listings_New[[#This Row],[MA | Boston]]</f>
        <v>9.3171471927162366E-2</v>
      </c>
      <c r="O20" s="11">
        <f>Pending_2_Weeks[[#This Row],[MD | Baltimore]]/Listings_New[[#This Row],[MD | Baltimore]]</f>
        <v>0.13199626865671643</v>
      </c>
      <c r="P20" s="11">
        <f>Pending_2_Weeks[[#This Row],[NV | Las Vegas]]/Listings_New[[#This Row],[NV | Las Vegas]]</f>
        <v>5.2160440695472543E-2</v>
      </c>
      <c r="Q20" s="11">
        <f>Pending_2_Weeks[[#This Row],[NY | Long Island]]/Listings_New[[#This Row],[NY | Long Island]]</f>
        <v>4.3606364172068354E-2</v>
      </c>
      <c r="R20" s="11">
        <f>Pending_2_Weeks[[#This Row],[OR | Portland]]/Listings_New[[#This Row],[OR | Portland]]</f>
        <v>0.16859403530127814</v>
      </c>
      <c r="S20" s="11"/>
      <c r="T20" s="11">
        <f>Pending_2_Weeks[[#This Row],[TX | Austin]]/Listings_New[[#This Row],[TX | Austin]]</f>
        <v>0.1640457469621158</v>
      </c>
      <c r="U20" s="11">
        <f>Pending_2_Weeks[[#This Row],[WA | Seattle]]/Listings_New[[#This Row],[WA | Seattle]]</f>
        <v>0.17757801899592945</v>
      </c>
      <c r="V20" s="8"/>
      <c r="W20" s="8"/>
    </row>
    <row r="21" spans="1:23" x14ac:dyDescent="0.25">
      <c r="A21" s="5">
        <v>40756</v>
      </c>
      <c r="B21" s="10">
        <f>Pending_2_Weeks[[#This Row],[National]]/Listings_New[[#This Row],[National]]</f>
        <v>0.16896190143306536</v>
      </c>
      <c r="C21" s="11">
        <f>Pending_2_Weeks[[#This Row],[AZ | Phoenix]]/Listings_New[[#This Row],[AZ | Phoenix]]</f>
        <v>0.3050382277984709</v>
      </c>
      <c r="D21" s="11">
        <f>Pending_2_Weeks[[#This Row],[CA | Inland Empire]]/Listings_New[[#This Row],[CA | Inland Empire]]</f>
        <v>0.16521945997383133</v>
      </c>
      <c r="E21" s="11">
        <f>Pending_2_Weeks[[#This Row],[CA | Los Angeles]]/Listings_New[[#This Row],[CA | Los Angeles]]</f>
        <v>0.17551878599506354</v>
      </c>
      <c r="F21" s="11">
        <f>Pending_2_Weeks[[#This Row],[CA | Sacramento]]/Listings_New[[#This Row],[CA | Sacramento]]</f>
        <v>6.7247820672478212E-2</v>
      </c>
      <c r="G21" s="11">
        <f>Pending_2_Weeks[[#This Row],[CA | San Diego]]/Listings_New[[#This Row],[CA | San Diego]]</f>
        <v>0.17207334273624825</v>
      </c>
      <c r="H21" s="11">
        <f>Pending_2_Weeks[[#This Row],[CA | San Francisco]]/Listings_New[[#This Row],[CA | San Francisco]]</f>
        <v>0.23610256410256411</v>
      </c>
      <c r="I21" s="11">
        <f>Pending_2_Weeks[[#This Row],[CA | San Jose]]/Listings_New[[#This Row],[CA | San Jose]]</f>
        <v>0.29095674967234603</v>
      </c>
      <c r="J21" s="11">
        <f>Pending_2_Weeks[[#This Row],[CA | Ventura]]/Listings_New[[#This Row],[CA | Ventura]]</f>
        <v>0.10277492291880781</v>
      </c>
      <c r="K21" s="11">
        <f>Pending_2_Weeks[[#This Row],[CO | Denver]]/Listings_New[[#This Row],[CO | Denver]]</f>
        <v>0.12755008270538504</v>
      </c>
      <c r="L21" s="11">
        <f>Pending_2_Weeks[[#This Row],[DC | Washington]]/Listings_New[[#This Row],[DC | Washington]]</f>
        <v>0.19423240033927056</v>
      </c>
      <c r="M21" s="11">
        <f>Pending_2_Weeks[[#This Row],[IL | Chicago]]/Listings_New[[#This Row],[IL | Chicago]]</f>
        <v>0.13065784973207159</v>
      </c>
      <c r="N21" s="11">
        <f>Pending_2_Weeks[[#This Row],[MA | Boston]]/Listings_New[[#This Row],[MA | Boston]]</f>
        <v>8.4036144578313252E-2</v>
      </c>
      <c r="O21" s="11">
        <f>Pending_2_Weeks[[#This Row],[MD | Baltimore]]/Listings_New[[#This Row],[MD | Baltimore]]</f>
        <v>0.12168252378567852</v>
      </c>
      <c r="P21" s="11">
        <f>Pending_2_Weeks[[#This Row],[NV | Las Vegas]]/Listings_New[[#This Row],[NV | Las Vegas]]</f>
        <v>4.4932258617732805E-2</v>
      </c>
      <c r="Q21" s="11">
        <f>Pending_2_Weeks[[#This Row],[NY | Long Island]]/Listings_New[[#This Row],[NY | Long Island]]</f>
        <v>5.4281098546042003E-2</v>
      </c>
      <c r="R21" s="11">
        <f>Pending_2_Weeks[[#This Row],[OR | Portland]]/Listings_New[[#This Row],[OR | Portland]]</f>
        <v>0.18822452715070165</v>
      </c>
      <c r="S21" s="11"/>
      <c r="T21" s="11">
        <f>Pending_2_Weeks[[#This Row],[TX | Austin]]/Listings_New[[#This Row],[TX | Austin]]</f>
        <v>0.15362198168193172</v>
      </c>
      <c r="U21" s="11">
        <f>Pending_2_Weeks[[#This Row],[WA | Seattle]]/Listings_New[[#This Row],[WA | Seattle]]</f>
        <v>0.18006656156945175</v>
      </c>
      <c r="V21" s="8"/>
      <c r="W21" s="8"/>
    </row>
    <row r="22" spans="1:23" x14ac:dyDescent="0.25">
      <c r="A22" s="5">
        <v>40787</v>
      </c>
      <c r="B22" s="10">
        <f>Pending_2_Weeks[[#This Row],[National]]/Listings_New[[#This Row],[National]]</f>
        <v>0.16758865948829399</v>
      </c>
      <c r="C22" s="11">
        <f>Pending_2_Weeks[[#This Row],[AZ | Phoenix]]/Listings_New[[#This Row],[AZ | Phoenix]]</f>
        <v>0.30393916992290632</v>
      </c>
      <c r="D22" s="11">
        <f>Pending_2_Weeks[[#This Row],[CA | Inland Empire]]/Listings_New[[#This Row],[CA | Inland Empire]]</f>
        <v>0.16265664160401003</v>
      </c>
      <c r="E22" s="11">
        <f>Pending_2_Weeks[[#This Row],[CA | Los Angeles]]/Listings_New[[#This Row],[CA | Los Angeles]]</f>
        <v>0.17422990962977358</v>
      </c>
      <c r="F22" s="11">
        <f>Pending_2_Weeks[[#This Row],[CA | Sacramento]]/Listings_New[[#This Row],[CA | Sacramento]]</f>
        <v>5.181347150259067E-2</v>
      </c>
      <c r="G22" s="11">
        <f>Pending_2_Weeks[[#This Row],[CA | San Diego]]/Listings_New[[#This Row],[CA | San Diego]]</f>
        <v>0.17941454202077431</v>
      </c>
      <c r="H22" s="11">
        <f>Pending_2_Weeks[[#This Row],[CA | San Francisco]]/Listings_New[[#This Row],[CA | San Francisco]]</f>
        <v>0.23268641470888662</v>
      </c>
      <c r="I22" s="11">
        <f>Pending_2_Weeks[[#This Row],[CA | San Jose]]/Listings_New[[#This Row],[CA | San Jose]]</f>
        <v>0.28086838534599728</v>
      </c>
      <c r="J22" s="11">
        <f>Pending_2_Weeks[[#This Row],[CA | Ventura]]/Listings_New[[#This Row],[CA | Ventura]]</f>
        <v>0.1053921568627451</v>
      </c>
      <c r="K22" s="11">
        <f>Pending_2_Weeks[[#This Row],[CO | Denver]]/Listings_New[[#This Row],[CO | Denver]]</f>
        <v>0.12768952342650311</v>
      </c>
      <c r="L22" s="11">
        <f>Pending_2_Weeks[[#This Row],[DC | Washington]]/Listings_New[[#This Row],[DC | Washington]]</f>
        <v>0.20177980132450332</v>
      </c>
      <c r="M22" s="11">
        <f>Pending_2_Weeks[[#This Row],[IL | Chicago]]/Listings_New[[#This Row],[IL | Chicago]]</f>
        <v>0.12311067771818625</v>
      </c>
      <c r="N22" s="11">
        <f>Pending_2_Weeks[[#This Row],[MA | Boston]]/Listings_New[[#This Row],[MA | Boston]]</f>
        <v>8.4272540983606564E-2</v>
      </c>
      <c r="O22" s="11">
        <f>Pending_2_Weeks[[#This Row],[MD | Baltimore]]/Listings_New[[#This Row],[MD | Baltimore]]</f>
        <v>0.12127659574468085</v>
      </c>
      <c r="P22" s="11">
        <f>Pending_2_Weeks[[#This Row],[NV | Las Vegas]]/Listings_New[[#This Row],[NV | Las Vegas]]</f>
        <v>5.0675675675675678E-2</v>
      </c>
      <c r="Q22" s="11">
        <f>Pending_2_Weeks[[#This Row],[NY | Long Island]]/Listings_New[[#This Row],[NY | Long Island]]</f>
        <v>4.8709677419354835E-2</v>
      </c>
      <c r="R22" s="11">
        <f>Pending_2_Weeks[[#This Row],[OR | Portland]]/Listings_New[[#This Row],[OR | Portland]]</f>
        <v>0.1899540148567386</v>
      </c>
      <c r="S22" s="11"/>
      <c r="T22" s="11">
        <f>Pending_2_Weeks[[#This Row],[TX | Austin]]/Listings_New[[#This Row],[TX | Austin]]</f>
        <v>0.14899328859060404</v>
      </c>
      <c r="U22" s="11">
        <f>Pending_2_Weeks[[#This Row],[WA | Seattle]]/Listings_New[[#This Row],[WA | Seattle]]</f>
        <v>0.17587351161428849</v>
      </c>
      <c r="V22" s="8"/>
      <c r="W22" s="8"/>
    </row>
    <row r="23" spans="1:23" x14ac:dyDescent="0.25">
      <c r="A23" s="5">
        <v>40817</v>
      </c>
      <c r="B23" s="10">
        <f>Pending_2_Weeks[[#This Row],[National]]/Listings_New[[#This Row],[National]]</f>
        <v>0.17382859271479126</v>
      </c>
      <c r="C23" s="11">
        <f>Pending_2_Weeks[[#This Row],[AZ | Phoenix]]/Listings_New[[#This Row],[AZ | Phoenix]]</f>
        <v>0.2905543047067653</v>
      </c>
      <c r="D23" s="11">
        <f>Pending_2_Weeks[[#This Row],[CA | Inland Empire]]/Listings_New[[#This Row],[CA | Inland Empire]]</f>
        <v>0.16477732793522268</v>
      </c>
      <c r="E23" s="11">
        <f>Pending_2_Weeks[[#This Row],[CA | Los Angeles]]/Listings_New[[#This Row],[CA | Los Angeles]]</f>
        <v>0.18266879319510898</v>
      </c>
      <c r="F23" s="11">
        <f>Pending_2_Weeks[[#This Row],[CA | Sacramento]]/Listings_New[[#This Row],[CA | Sacramento]]</f>
        <v>5.8626465661641543E-2</v>
      </c>
      <c r="G23" s="11">
        <f>Pending_2_Weeks[[#This Row],[CA | San Diego]]/Listings_New[[#This Row],[CA | San Diego]]</f>
        <v>0.19450654742893644</v>
      </c>
      <c r="H23" s="11">
        <f>Pending_2_Weeks[[#This Row],[CA | San Francisco]]/Listings_New[[#This Row],[CA | San Francisco]]</f>
        <v>0.24907834101382489</v>
      </c>
      <c r="I23" s="11">
        <f>Pending_2_Weeks[[#This Row],[CA | San Jose]]/Listings_New[[#This Row],[CA | San Jose]]</f>
        <v>0.30363771343726798</v>
      </c>
      <c r="J23" s="11">
        <f>Pending_2_Weeks[[#This Row],[CA | Ventura]]/Listings_New[[#This Row],[CA | Ventura]]</f>
        <v>0.13157894736842105</v>
      </c>
      <c r="K23" s="11">
        <f>Pending_2_Weeks[[#This Row],[CO | Denver]]/Listings_New[[#This Row],[CO | Denver]]</f>
        <v>0.1391304347826087</v>
      </c>
      <c r="L23" s="11">
        <f>Pending_2_Weeks[[#This Row],[DC | Washington]]/Listings_New[[#This Row],[DC | Washington]]</f>
        <v>0.20652670013692379</v>
      </c>
      <c r="M23" s="11">
        <f>Pending_2_Weeks[[#This Row],[IL | Chicago]]/Listings_New[[#This Row],[IL | Chicago]]</f>
        <v>0.1347406828251238</v>
      </c>
      <c r="N23" s="11">
        <f>Pending_2_Weeks[[#This Row],[MA | Boston]]/Listings_New[[#This Row],[MA | Boston]]</f>
        <v>8.2586427656850189E-2</v>
      </c>
      <c r="O23" s="11">
        <f>Pending_2_Weeks[[#This Row],[MD | Baltimore]]/Listings_New[[#This Row],[MD | Baltimore]]</f>
        <v>0.15282919090428346</v>
      </c>
      <c r="P23" s="11">
        <f>Pending_2_Weeks[[#This Row],[NV | Las Vegas]]/Listings_New[[#This Row],[NV | Las Vegas]]</f>
        <v>5.5160885917258672E-2</v>
      </c>
      <c r="Q23" s="11">
        <f>Pending_2_Weeks[[#This Row],[NY | Long Island]]/Listings_New[[#This Row],[NY | Long Island]]</f>
        <v>4.316069057104914E-2</v>
      </c>
      <c r="R23" s="11">
        <f>Pending_2_Weeks[[#This Row],[OR | Portland]]/Listings_New[[#This Row],[OR | Portland]]</f>
        <v>0.16870748299319727</v>
      </c>
      <c r="S23" s="11"/>
      <c r="T23" s="11">
        <f>Pending_2_Weeks[[#This Row],[TX | Austin]]/Listings_New[[#This Row],[TX | Austin]]</f>
        <v>0.16590701914311759</v>
      </c>
      <c r="U23" s="11">
        <f>Pending_2_Weeks[[#This Row],[WA | Seattle]]/Listings_New[[#This Row],[WA | Seattle]]</f>
        <v>0.18581155282231496</v>
      </c>
      <c r="V23" s="8"/>
      <c r="W23" s="8"/>
    </row>
    <row r="24" spans="1:23" x14ac:dyDescent="0.25">
      <c r="A24" s="5">
        <v>40848</v>
      </c>
      <c r="B24" s="10">
        <f>Pending_2_Weeks[[#This Row],[National]]/Listings_New[[#This Row],[National]]</f>
        <v>0.17272755747666479</v>
      </c>
      <c r="C24" s="11">
        <f>Pending_2_Weeks[[#This Row],[AZ | Phoenix]]/Listings_New[[#This Row],[AZ | Phoenix]]</f>
        <v>0.29281571783643034</v>
      </c>
      <c r="D24" s="11">
        <f>Pending_2_Weeks[[#This Row],[CA | Inland Empire]]/Listings_New[[#This Row],[CA | Inland Empire]]</f>
        <v>0.16586782861292665</v>
      </c>
      <c r="E24" s="11">
        <f>Pending_2_Weeks[[#This Row],[CA | Los Angeles]]/Listings_New[[#This Row],[CA | Los Angeles]]</f>
        <v>0.17494574391126116</v>
      </c>
      <c r="F24" s="11">
        <f>Pending_2_Weeks[[#This Row],[CA | Sacramento]]/Listings_New[[#This Row],[CA | Sacramento]]</f>
        <v>5.3097345132743362E-2</v>
      </c>
      <c r="G24" s="11">
        <f>Pending_2_Weeks[[#This Row],[CA | San Diego]]/Listings_New[[#This Row],[CA | San Diego]]</f>
        <v>0.19557886849007119</v>
      </c>
      <c r="H24" s="11">
        <f>Pending_2_Weeks[[#This Row],[CA | San Francisco]]/Listings_New[[#This Row],[CA | San Francisco]]</f>
        <v>0.25248683440608544</v>
      </c>
      <c r="I24" s="11">
        <f>Pending_2_Weeks[[#This Row],[CA | San Jose]]/Listings_New[[#This Row],[CA | San Jose]]</f>
        <v>0.31622364802933089</v>
      </c>
      <c r="J24" s="11">
        <f>Pending_2_Weeks[[#This Row],[CA | Ventura]]/Listings_New[[#This Row],[CA | Ventura]]</f>
        <v>0.14324324324324325</v>
      </c>
      <c r="K24" s="11">
        <f>Pending_2_Weeks[[#This Row],[CO | Denver]]/Listings_New[[#This Row],[CO | Denver]]</f>
        <v>0.16056849107952828</v>
      </c>
      <c r="L24" s="11">
        <f>Pending_2_Weeks[[#This Row],[DC | Washington]]/Listings_New[[#This Row],[DC | Washington]]</f>
        <v>0.20588235294117646</v>
      </c>
      <c r="M24" s="11">
        <f>Pending_2_Weeks[[#This Row],[IL | Chicago]]/Listings_New[[#This Row],[IL | Chicago]]</f>
        <v>0.12246777163904236</v>
      </c>
      <c r="N24" s="11">
        <f>Pending_2_Weeks[[#This Row],[MA | Boston]]/Listings_New[[#This Row],[MA | Boston]]</f>
        <v>8.8637435172088636E-2</v>
      </c>
      <c r="O24" s="11">
        <f>Pending_2_Weeks[[#This Row],[MD | Baltimore]]/Listings_New[[#This Row],[MD | Baltimore]]</f>
        <v>0.13606911447084233</v>
      </c>
      <c r="P24" s="11">
        <f>Pending_2_Weeks[[#This Row],[NV | Las Vegas]]/Listings_New[[#This Row],[NV | Las Vegas]]</f>
        <v>4.9706281066425669E-2</v>
      </c>
      <c r="Q24" s="11">
        <f>Pending_2_Weeks[[#This Row],[NY | Long Island]]/Listings_New[[#This Row],[NY | Long Island]]</f>
        <v>5.5342699020859941E-2</v>
      </c>
      <c r="R24" s="11">
        <f>Pending_2_Weeks[[#This Row],[OR | Portland]]/Listings_New[[#This Row],[OR | Portland]]</f>
        <v>0.16412520064205458</v>
      </c>
      <c r="S24" s="11"/>
      <c r="T24" s="11">
        <f>Pending_2_Weeks[[#This Row],[TX | Austin]]/Listings_New[[#This Row],[TX | Austin]]</f>
        <v>0.15561643835616437</v>
      </c>
      <c r="U24" s="11">
        <f>Pending_2_Weeks[[#This Row],[WA | Seattle]]/Listings_New[[#This Row],[WA | Seattle]]</f>
        <v>0.1645010395010395</v>
      </c>
      <c r="V24" s="8"/>
      <c r="W24" s="8"/>
    </row>
    <row r="25" spans="1:23" x14ac:dyDescent="0.25">
      <c r="A25" s="5">
        <v>40878</v>
      </c>
      <c r="B25" s="10">
        <f>Pending_2_Weeks[[#This Row],[National]]/Listings_New[[#This Row],[National]]</f>
        <v>0.1721311475409836</v>
      </c>
      <c r="C25" s="11">
        <f>Pending_2_Weeks[[#This Row],[AZ | Phoenix]]/Listings_New[[#This Row],[AZ | Phoenix]]</f>
        <v>0.28418912048805289</v>
      </c>
      <c r="D25" s="11">
        <f>Pending_2_Weeks[[#This Row],[CA | Inland Empire]]/Listings_New[[#This Row],[CA | Inland Empire]]</f>
        <v>0.15765625</v>
      </c>
      <c r="E25" s="11">
        <f>Pending_2_Weeks[[#This Row],[CA | Los Angeles]]/Listings_New[[#This Row],[CA | Los Angeles]]</f>
        <v>0.17522148783574742</v>
      </c>
      <c r="F25" s="11">
        <f>Pending_2_Weeks[[#This Row],[CA | Sacramento]]/Listings_New[[#This Row],[CA | Sacramento]]</f>
        <v>0.14414414414414414</v>
      </c>
      <c r="G25" s="11">
        <f>Pending_2_Weeks[[#This Row],[CA | San Diego]]/Listings_New[[#This Row],[CA | San Diego]]</f>
        <v>0.19182948490230906</v>
      </c>
      <c r="H25" s="11">
        <f>Pending_2_Weeks[[#This Row],[CA | San Francisco]]/Listings_New[[#This Row],[CA | San Francisco]]</f>
        <v>0.24680704176734553</v>
      </c>
      <c r="I25" s="11">
        <f>Pending_2_Weeks[[#This Row],[CA | San Jose]]/Listings_New[[#This Row],[CA | San Jose]]</f>
        <v>0.29182389937106917</v>
      </c>
      <c r="J25" s="11">
        <f>Pending_2_Weeks[[#This Row],[CA | Ventura]]/Listings_New[[#This Row],[CA | Ventura]]</f>
        <v>0.1388888888888889</v>
      </c>
      <c r="K25" s="11">
        <f>Pending_2_Weeks[[#This Row],[CO | Denver]]/Listings_New[[#This Row],[CO | Denver]]</f>
        <v>0.14837768866204884</v>
      </c>
      <c r="L25" s="11">
        <f>Pending_2_Weeks[[#This Row],[DC | Washington]]/Listings_New[[#This Row],[DC | Washington]]</f>
        <v>0.22134251290877796</v>
      </c>
      <c r="M25" s="11">
        <f>Pending_2_Weeks[[#This Row],[IL | Chicago]]/Listings_New[[#This Row],[IL | Chicago]]</f>
        <v>0.12143390589992532</v>
      </c>
      <c r="N25" s="11">
        <f>Pending_2_Weeks[[#This Row],[MA | Boston]]/Listings_New[[#This Row],[MA | Boston]]</f>
        <v>9.5984943538268502E-2</v>
      </c>
      <c r="O25" s="11">
        <f>Pending_2_Weeks[[#This Row],[MD | Baltimore]]/Listings_New[[#This Row],[MD | Baltimore]]</f>
        <v>0.15085158150851583</v>
      </c>
      <c r="P25" s="11">
        <f>Pending_2_Weeks[[#This Row],[NV | Las Vegas]]/Listings_New[[#This Row],[NV | Las Vegas]]</f>
        <v>5.4640718562874252E-2</v>
      </c>
      <c r="Q25" s="11">
        <f>Pending_2_Weeks[[#This Row],[NY | Long Island]]/Listings_New[[#This Row],[NY | Long Island]]</f>
        <v>7.6530612244897961E-2</v>
      </c>
      <c r="R25" s="11">
        <f>Pending_2_Weeks[[#This Row],[OR | Portland]]/Listings_New[[#This Row],[OR | Portland]]</f>
        <v>0.15096952908587258</v>
      </c>
      <c r="S25" s="11"/>
      <c r="T25" s="11">
        <f>Pending_2_Weeks[[#This Row],[TX | Austin]]/Listings_New[[#This Row],[TX | Austin]]</f>
        <v>0.16791979949874686</v>
      </c>
      <c r="U25" s="11">
        <f>Pending_2_Weeks[[#This Row],[WA | Seattle]]/Listings_New[[#This Row],[WA | Seattle]]</f>
        <v>0.17200622083981337</v>
      </c>
      <c r="V25" s="8"/>
      <c r="W25" s="8"/>
    </row>
    <row r="26" spans="1:23" x14ac:dyDescent="0.25">
      <c r="A26" s="5">
        <v>40909</v>
      </c>
      <c r="B26" s="10">
        <f>Pending_2_Weeks[[#This Row],[National]]/Listings_New[[#This Row],[National]]</f>
        <v>0.20716614069947142</v>
      </c>
      <c r="C26" s="11">
        <f>Pending_2_Weeks[[#This Row],[AZ | Phoenix]]/Listings_New[[#This Row],[AZ | Phoenix]]</f>
        <v>0.34035051332572852</v>
      </c>
      <c r="D26" s="11">
        <f>Pending_2_Weeks[[#This Row],[CA | Inland Empire]]/Listings_New[[#This Row],[CA | Inland Empire]]</f>
        <v>0.19232193556351068</v>
      </c>
      <c r="E26" s="11">
        <f>Pending_2_Weeks[[#This Row],[CA | Los Angeles]]/Listings_New[[#This Row],[CA | Los Angeles]]</f>
        <v>0.2228051073938434</v>
      </c>
      <c r="F26" s="11">
        <f>Pending_2_Weeks[[#This Row],[CA | Sacramento]]/Listings_New[[#This Row],[CA | Sacramento]]</f>
        <v>5.6910569105691054E-2</v>
      </c>
      <c r="G26" s="11">
        <f>Pending_2_Weeks[[#This Row],[CA | San Diego]]/Listings_New[[#This Row],[CA | San Diego]]</f>
        <v>0.242093156986774</v>
      </c>
      <c r="H26" s="11">
        <f>Pending_2_Weeks[[#This Row],[CA | San Francisco]]/Listings_New[[#This Row],[CA | San Francisco]]</f>
        <v>0.31122206371849737</v>
      </c>
      <c r="I26" s="11">
        <f>Pending_2_Weeks[[#This Row],[CA | San Jose]]/Listings_New[[#This Row],[CA | San Jose]]</f>
        <v>0.39320029563932002</v>
      </c>
      <c r="J26" s="11">
        <f>Pending_2_Weeks[[#This Row],[CA | Ventura]]/Listings_New[[#This Row],[CA | Ventura]]</f>
        <v>0.22502870264064295</v>
      </c>
      <c r="K26" s="11">
        <f>Pending_2_Weeks[[#This Row],[CO | Denver]]/Listings_New[[#This Row],[CO | Denver]]</f>
        <v>0.18584739360362629</v>
      </c>
      <c r="L26" s="11">
        <f>Pending_2_Weeks[[#This Row],[DC | Washington]]/Listings_New[[#This Row],[DC | Washington]]</f>
        <v>0.25689613816262891</v>
      </c>
      <c r="M26" s="11">
        <f>Pending_2_Weeks[[#This Row],[IL | Chicago]]/Listings_New[[#This Row],[IL | Chicago]]</f>
        <v>0.13524540981639266</v>
      </c>
      <c r="N26" s="11">
        <f>Pending_2_Weeks[[#This Row],[MA | Boston]]/Listings_New[[#This Row],[MA | Boston]]</f>
        <v>9.9592743428359873E-2</v>
      </c>
      <c r="O26" s="11">
        <f>Pending_2_Weeks[[#This Row],[MD | Baltimore]]/Listings_New[[#This Row],[MD | Baltimore]]</f>
        <v>0.18309037900874636</v>
      </c>
      <c r="P26" s="11">
        <f>Pending_2_Weeks[[#This Row],[NV | Las Vegas]]/Listings_New[[#This Row],[NV | Las Vegas]]</f>
        <v>6.8746152267596963E-2</v>
      </c>
      <c r="Q26" s="11">
        <f>Pending_2_Weeks[[#This Row],[NY | Long Island]]/Listings_New[[#This Row],[NY | Long Island]]</f>
        <v>5.6980056980056981E-2</v>
      </c>
      <c r="R26" s="11">
        <f>Pending_2_Weeks[[#This Row],[OR | Portland]]/Listings_New[[#This Row],[OR | Portland]]</f>
        <v>0.19601100412654746</v>
      </c>
      <c r="S26" s="11"/>
      <c r="T26" s="11">
        <f>Pending_2_Weeks[[#This Row],[TX | Austin]]/Listings_New[[#This Row],[TX | Austin]]</f>
        <v>0.20121422376409367</v>
      </c>
      <c r="U26" s="11">
        <f>Pending_2_Weeks[[#This Row],[WA | Seattle]]/Listings_New[[#This Row],[WA | Seattle]]</f>
        <v>0.21183490800596719</v>
      </c>
      <c r="V26" s="8"/>
      <c r="W26" s="8"/>
    </row>
    <row r="27" spans="1:23" x14ac:dyDescent="0.25">
      <c r="A27" s="5">
        <v>40940</v>
      </c>
      <c r="B27" s="10">
        <f>Pending_2_Weeks[[#This Row],[National]]/Listings_New[[#This Row],[National]]</f>
        <v>0.23920832167925307</v>
      </c>
      <c r="C27" s="11">
        <f>Pending_2_Weeks[[#This Row],[AZ | Phoenix]]/Listings_New[[#This Row],[AZ | Phoenix]]</f>
        <v>0.39056513409961685</v>
      </c>
      <c r="D27" s="11">
        <f>Pending_2_Weeks[[#This Row],[CA | Inland Empire]]/Listings_New[[#This Row],[CA | Inland Empire]]</f>
        <v>0.24340544312630844</v>
      </c>
      <c r="E27" s="11">
        <f>Pending_2_Weeks[[#This Row],[CA | Los Angeles]]/Listings_New[[#This Row],[CA | Los Angeles]]</f>
        <v>0.25795089609447841</v>
      </c>
      <c r="F27" s="11">
        <f>Pending_2_Weeks[[#This Row],[CA | Sacramento]]/Listings_New[[#This Row],[CA | Sacramento]]</f>
        <v>4.1431261770244823E-2</v>
      </c>
      <c r="G27" s="11">
        <f>Pending_2_Weeks[[#This Row],[CA | San Diego]]/Listings_New[[#This Row],[CA | San Diego]]</f>
        <v>0.27183232772308669</v>
      </c>
      <c r="H27" s="11">
        <f>Pending_2_Weeks[[#This Row],[CA | San Francisco]]/Listings_New[[#This Row],[CA | San Francisco]]</f>
        <v>0.35741718674987999</v>
      </c>
      <c r="I27" s="11">
        <f>Pending_2_Weeks[[#This Row],[CA | San Jose]]/Listings_New[[#This Row],[CA | San Jose]]</f>
        <v>0.44573925710123818</v>
      </c>
      <c r="J27" s="11">
        <f>Pending_2_Weeks[[#This Row],[CA | Ventura]]/Listings_New[[#This Row],[CA | Ventura]]</f>
        <v>0.28053204353083433</v>
      </c>
      <c r="K27" s="11">
        <f>Pending_2_Weeks[[#This Row],[CO | Denver]]/Listings_New[[#This Row],[CO | Denver]]</f>
        <v>0.22060857538035961</v>
      </c>
      <c r="L27" s="11">
        <f>Pending_2_Weeks[[#This Row],[DC | Washington]]/Listings_New[[#This Row],[DC | Washington]]</f>
        <v>0.29187817258883247</v>
      </c>
      <c r="M27" s="11">
        <f>Pending_2_Weeks[[#This Row],[IL | Chicago]]/Listings_New[[#This Row],[IL | Chicago]]</f>
        <v>0.15003481086098863</v>
      </c>
      <c r="N27" s="11">
        <f>Pending_2_Weeks[[#This Row],[MA | Boston]]/Listings_New[[#This Row],[MA | Boston]]</f>
        <v>0.1110435047155461</v>
      </c>
      <c r="O27" s="11">
        <f>Pending_2_Weeks[[#This Row],[MD | Baltimore]]/Listings_New[[#This Row],[MD | Baltimore]]</f>
        <v>0.19135135135135134</v>
      </c>
      <c r="P27" s="11">
        <f>Pending_2_Weeks[[#This Row],[NV | Las Vegas]]/Listings_New[[#This Row],[NV | Las Vegas]]</f>
        <v>6.7026013592688075E-2</v>
      </c>
      <c r="Q27" s="11">
        <f>Pending_2_Weeks[[#This Row],[NY | Long Island]]/Listings_New[[#This Row],[NY | Long Island]]</f>
        <v>5.7081147793890771E-2</v>
      </c>
      <c r="R27" s="11">
        <f>Pending_2_Weeks[[#This Row],[OR | Portland]]/Listings_New[[#This Row],[OR | Portland]]</f>
        <v>0.23832831325301204</v>
      </c>
      <c r="S27" s="11"/>
      <c r="T27" s="11">
        <f>Pending_2_Weeks[[#This Row],[TX | Austin]]/Listings_New[[#This Row],[TX | Austin]]</f>
        <v>0.23941493456505003</v>
      </c>
      <c r="U27" s="11">
        <f>Pending_2_Weeks[[#This Row],[WA | Seattle]]/Listings_New[[#This Row],[WA | Seattle]]</f>
        <v>0.2751050910789351</v>
      </c>
      <c r="V27" s="8"/>
      <c r="W27" s="8"/>
    </row>
    <row r="28" spans="1:23" x14ac:dyDescent="0.25">
      <c r="A28" s="5">
        <v>40969</v>
      </c>
      <c r="B28" s="10">
        <f>Pending_2_Weeks[[#This Row],[National]]/Listings_New[[#This Row],[National]]</f>
        <v>0.27254013045288428</v>
      </c>
      <c r="C28" s="11">
        <f>Pending_2_Weeks[[#This Row],[AZ | Phoenix]]/Listings_New[[#This Row],[AZ | Phoenix]]</f>
        <v>0.42381865343408143</v>
      </c>
      <c r="D28" s="11">
        <f>Pending_2_Weeks[[#This Row],[CA | Inland Empire]]/Listings_New[[#This Row],[CA | Inland Empire]]</f>
        <v>0.29336371404158357</v>
      </c>
      <c r="E28" s="11">
        <f>Pending_2_Weeks[[#This Row],[CA | Los Angeles]]/Listings_New[[#This Row],[CA | Los Angeles]]</f>
        <v>0.29921418496876889</v>
      </c>
      <c r="F28" s="11">
        <f>Pending_2_Weeks[[#This Row],[CA | Sacramento]]/Listings_New[[#This Row],[CA | Sacramento]]</f>
        <v>7.8E-2</v>
      </c>
      <c r="G28" s="11">
        <f>Pending_2_Weeks[[#This Row],[CA | San Diego]]/Listings_New[[#This Row],[CA | San Diego]]</f>
        <v>0.33532576210400478</v>
      </c>
      <c r="H28" s="11">
        <f>Pending_2_Weeks[[#This Row],[CA | San Francisco]]/Listings_New[[#This Row],[CA | San Francisco]]</f>
        <v>0.43337760070827802</v>
      </c>
      <c r="I28" s="11">
        <f>Pending_2_Weeks[[#This Row],[CA | San Jose]]/Listings_New[[#This Row],[CA | San Jose]]</f>
        <v>0.51422898742554601</v>
      </c>
      <c r="J28" s="11">
        <f>Pending_2_Weeks[[#This Row],[CA | Ventura]]/Listings_New[[#This Row],[CA | Ventura]]</f>
        <v>0.34669811320754718</v>
      </c>
      <c r="K28" s="11">
        <f>Pending_2_Weeks[[#This Row],[CO | Denver]]/Listings_New[[#This Row],[CO | Denver]]</f>
        <v>0.26933239387000174</v>
      </c>
      <c r="L28" s="11">
        <f>Pending_2_Weeks[[#This Row],[DC | Washington]]/Listings_New[[#This Row],[DC | Washington]]</f>
        <v>0.323943661971831</v>
      </c>
      <c r="M28" s="11">
        <f>Pending_2_Weeks[[#This Row],[IL | Chicago]]/Listings_New[[#This Row],[IL | Chicago]]</f>
        <v>0.17446440580267075</v>
      </c>
      <c r="N28" s="11">
        <f>Pending_2_Weeks[[#This Row],[MA | Boston]]/Listings_New[[#This Row],[MA | Boston]]</f>
        <v>0.1149330587023687</v>
      </c>
      <c r="O28" s="11">
        <f>Pending_2_Weeks[[#This Row],[MD | Baltimore]]/Listings_New[[#This Row],[MD | Baltimore]]</f>
        <v>0.21666044079193125</v>
      </c>
      <c r="P28" s="11">
        <f>Pending_2_Weeks[[#This Row],[NV | Las Vegas]]/Listings_New[[#This Row],[NV | Las Vegas]]</f>
        <v>8.3990719257540605E-2</v>
      </c>
      <c r="Q28" s="11">
        <f>Pending_2_Weeks[[#This Row],[NY | Long Island]]/Listings_New[[#This Row],[NY | Long Island]]</f>
        <v>5.5499748869914614E-2</v>
      </c>
      <c r="R28" s="11">
        <f>Pending_2_Weeks[[#This Row],[OR | Portland]]/Listings_New[[#This Row],[OR | Portland]]</f>
        <v>0.26119636705292826</v>
      </c>
      <c r="S28" s="11"/>
      <c r="T28" s="11">
        <f>Pending_2_Weeks[[#This Row],[TX | Austin]]/Listings_New[[#This Row],[TX | Austin]]</f>
        <v>0.27925450656889705</v>
      </c>
      <c r="U28" s="11">
        <f>Pending_2_Weeks[[#This Row],[WA | Seattle]]/Listings_New[[#This Row],[WA | Seattle]]</f>
        <v>0.33014735165272802</v>
      </c>
      <c r="V28" s="8"/>
      <c r="W28" s="8"/>
    </row>
    <row r="29" spans="1:23" x14ac:dyDescent="0.25">
      <c r="A29" s="5">
        <v>41000</v>
      </c>
      <c r="B29" s="10">
        <f>Pending_2_Weeks[[#This Row],[National]]/Listings_New[[#This Row],[National]]</f>
        <v>0.28352093206951029</v>
      </c>
      <c r="C29" s="11">
        <f>Pending_2_Weeks[[#This Row],[AZ | Phoenix]]/Listings_New[[#This Row],[AZ | Phoenix]]</f>
        <v>0.41942049808429116</v>
      </c>
      <c r="D29" s="11">
        <f>Pending_2_Weeks[[#This Row],[CA | Inland Empire]]/Listings_New[[#This Row],[CA | Inland Empire]]</f>
        <v>0.31548881997715034</v>
      </c>
      <c r="E29" s="11">
        <f>Pending_2_Weeks[[#This Row],[CA | Los Angeles]]/Listings_New[[#This Row],[CA | Los Angeles]]</f>
        <v>0.31300634990146703</v>
      </c>
      <c r="F29" s="11">
        <f>Pending_2_Weeks[[#This Row],[CA | Sacramento]]/Listings_New[[#This Row],[CA | Sacramento]]</f>
        <v>5.9523809523809521E-2</v>
      </c>
      <c r="G29" s="11">
        <f>Pending_2_Weeks[[#This Row],[CA | San Diego]]/Listings_New[[#This Row],[CA | San Diego]]</f>
        <v>0.35888275414095483</v>
      </c>
      <c r="H29" s="11">
        <f>Pending_2_Weeks[[#This Row],[CA | San Francisco]]/Listings_New[[#This Row],[CA | San Francisco]]</f>
        <v>0.43423251372642635</v>
      </c>
      <c r="I29" s="11">
        <f>Pending_2_Weeks[[#This Row],[CA | San Jose]]/Listings_New[[#This Row],[CA | San Jose]]</f>
        <v>0.53978494623655915</v>
      </c>
      <c r="J29" s="11">
        <f>Pending_2_Weeks[[#This Row],[CA | Ventura]]/Listings_New[[#This Row],[CA | Ventura]]</f>
        <v>0.37682926829268293</v>
      </c>
      <c r="K29" s="11">
        <f>Pending_2_Weeks[[#This Row],[CO | Denver]]/Listings_New[[#This Row],[CO | Denver]]</f>
        <v>0.30420353982300885</v>
      </c>
      <c r="L29" s="11">
        <f>Pending_2_Weeks[[#This Row],[DC | Washington]]/Listings_New[[#This Row],[DC | Washington]]</f>
        <v>0.33416252072968489</v>
      </c>
      <c r="M29" s="11">
        <f>Pending_2_Weeks[[#This Row],[IL | Chicago]]/Listings_New[[#This Row],[IL | Chicago]]</f>
        <v>0.18134768657488873</v>
      </c>
      <c r="N29" s="11">
        <f>Pending_2_Weeks[[#This Row],[MA | Boston]]/Listings_New[[#This Row],[MA | Boston]]</f>
        <v>9.576547231270359E-2</v>
      </c>
      <c r="O29" s="11">
        <f>Pending_2_Weeks[[#This Row],[MD | Baltimore]]/Listings_New[[#This Row],[MD | Baltimore]]</f>
        <v>0.21807091117041555</v>
      </c>
      <c r="P29" s="11">
        <f>Pending_2_Weeks[[#This Row],[NV | Las Vegas]]/Listings_New[[#This Row],[NV | Las Vegas]]</f>
        <v>0.10197197716658017</v>
      </c>
      <c r="Q29" s="11">
        <f>Pending_2_Weeks[[#This Row],[NY | Long Island]]/Listings_New[[#This Row],[NY | Long Island]]</f>
        <v>6.2813407231459492E-2</v>
      </c>
      <c r="R29" s="11">
        <f>Pending_2_Weeks[[#This Row],[OR | Portland]]/Listings_New[[#This Row],[OR | Portland]]</f>
        <v>0.28466257668711659</v>
      </c>
      <c r="S29" s="11"/>
      <c r="T29" s="11">
        <f>Pending_2_Weeks[[#This Row],[TX | Austin]]/Listings_New[[#This Row],[TX | Austin]]</f>
        <v>0.28333866325551649</v>
      </c>
      <c r="U29" s="11">
        <f>Pending_2_Weeks[[#This Row],[WA | Seattle]]/Listings_New[[#This Row],[WA | Seattle]]</f>
        <v>0.34878286270691333</v>
      </c>
      <c r="V29" s="8"/>
      <c r="W29" s="8"/>
    </row>
    <row r="30" spans="1:23" x14ac:dyDescent="0.25">
      <c r="A30" s="5">
        <v>41030</v>
      </c>
      <c r="B30" s="10">
        <f>Pending_2_Weeks[[#This Row],[National]]/Listings_New[[#This Row],[National]]</f>
        <v>0.28424090914580391</v>
      </c>
      <c r="C30" s="11">
        <f>Pending_2_Weeks[[#This Row],[AZ | Phoenix]]/Listings_New[[#This Row],[AZ | Phoenix]]</f>
        <v>0.38012783265543287</v>
      </c>
      <c r="D30" s="11">
        <f>Pending_2_Weeks[[#This Row],[CA | Inland Empire]]/Listings_New[[#This Row],[CA | Inland Empire]]</f>
        <v>0.35948345439870866</v>
      </c>
      <c r="E30" s="11">
        <f>Pending_2_Weeks[[#This Row],[CA | Los Angeles]]/Listings_New[[#This Row],[CA | Los Angeles]]</f>
        <v>0.35122051704603974</v>
      </c>
      <c r="F30" s="11">
        <f>Pending_2_Weeks[[#This Row],[CA | Sacramento]]/Listings_New[[#This Row],[CA | Sacramento]]</f>
        <v>9.06801007556675E-2</v>
      </c>
      <c r="G30" s="11">
        <f>Pending_2_Weeks[[#This Row],[CA | San Diego]]/Listings_New[[#This Row],[CA | San Diego]]</f>
        <v>0.37624398073836274</v>
      </c>
      <c r="H30" s="11">
        <f>Pending_2_Weeks[[#This Row],[CA | San Francisco]]/Listings_New[[#This Row],[CA | San Francisco]]</f>
        <v>0.4651804182946449</v>
      </c>
      <c r="I30" s="11">
        <f>Pending_2_Weeks[[#This Row],[CA | San Jose]]/Listings_New[[#This Row],[CA | San Jose]]</f>
        <v>0.51177199504337045</v>
      </c>
      <c r="J30" s="11">
        <f>Pending_2_Weeks[[#This Row],[CA | Ventura]]/Listings_New[[#This Row],[CA | Ventura]]</f>
        <v>0.3791411042944785</v>
      </c>
      <c r="K30" s="11">
        <f>Pending_2_Weeks[[#This Row],[CO | Denver]]/Listings_New[[#This Row],[CO | Denver]]</f>
        <v>0.3194301407483694</v>
      </c>
      <c r="L30" s="11">
        <f>Pending_2_Weeks[[#This Row],[DC | Washington]]/Listings_New[[#This Row],[DC | Washington]]</f>
        <v>0.31941764602701278</v>
      </c>
      <c r="M30" s="11">
        <f>Pending_2_Weeks[[#This Row],[IL | Chicago]]/Listings_New[[#This Row],[IL | Chicago]]</f>
        <v>0.1307737860244769</v>
      </c>
      <c r="N30" s="11">
        <f>Pending_2_Weeks[[#This Row],[MA | Boston]]/Listings_New[[#This Row],[MA | Boston]]</f>
        <v>6.0356347438752782E-2</v>
      </c>
      <c r="O30" s="11">
        <f>Pending_2_Weeks[[#This Row],[MD | Baltimore]]/Listings_New[[#This Row],[MD | Baltimore]]</f>
        <v>0.19286007386130488</v>
      </c>
      <c r="P30" s="11">
        <f>Pending_2_Weeks[[#This Row],[NV | Las Vegas]]/Listings_New[[#This Row],[NV | Las Vegas]]</f>
        <v>8.6601307189542481E-2</v>
      </c>
      <c r="Q30" s="11">
        <f>Pending_2_Weeks[[#This Row],[NY | Long Island]]/Listings_New[[#This Row],[NY | Long Island]]</f>
        <v>5.9344552701505758E-2</v>
      </c>
      <c r="R30" s="11">
        <f>Pending_2_Weeks[[#This Row],[OR | Portland]]/Listings_New[[#This Row],[OR | Portland]]</f>
        <v>0.30011422044545971</v>
      </c>
      <c r="S30" s="11"/>
      <c r="T30" s="11">
        <f>Pending_2_Weeks[[#This Row],[TX | Austin]]/Listings_New[[#This Row],[TX | Austin]]</f>
        <v>0.28993369499698612</v>
      </c>
      <c r="U30" s="11">
        <f>Pending_2_Weeks[[#This Row],[WA | Seattle]]/Listings_New[[#This Row],[WA | Seattle]]</f>
        <v>0.3577749683944374</v>
      </c>
      <c r="V30" s="8"/>
      <c r="W30" s="8"/>
    </row>
    <row r="31" spans="1:23" x14ac:dyDescent="0.25">
      <c r="A31" s="5">
        <v>41061</v>
      </c>
      <c r="B31" s="10">
        <f>Pending_2_Weeks[[#This Row],[National]]/Listings_New[[#This Row],[National]]</f>
        <v>0.26727205646073099</v>
      </c>
      <c r="C31" s="11">
        <f>Pending_2_Weeks[[#This Row],[AZ | Phoenix]]/Listings_New[[#This Row],[AZ | Phoenix]]</f>
        <v>0.3767083955438153</v>
      </c>
      <c r="D31" s="11">
        <f>Pending_2_Weeks[[#This Row],[CA | Inland Empire]]/Listings_New[[#This Row],[CA | Inland Empire]]</f>
        <v>0.34447430298958681</v>
      </c>
      <c r="E31" s="11">
        <f>Pending_2_Weeks[[#This Row],[CA | Los Angeles]]/Listings_New[[#This Row],[CA | Los Angeles]]</f>
        <v>0.34622428094366048</v>
      </c>
      <c r="F31" s="11">
        <f>Pending_2_Weeks[[#This Row],[CA | Sacramento]]/Listings_New[[#This Row],[CA | Sacramento]]</f>
        <v>9.8901098901098897E-2</v>
      </c>
      <c r="G31" s="11">
        <f>Pending_2_Weeks[[#This Row],[CA | San Diego]]/Listings_New[[#This Row],[CA | San Diego]]</f>
        <v>0.3838576421989196</v>
      </c>
      <c r="H31" s="11">
        <f>Pending_2_Weeks[[#This Row],[CA | San Francisco]]/Listings_New[[#This Row],[CA | San Francisco]]</f>
        <v>0.4471813103098019</v>
      </c>
      <c r="I31" s="11">
        <f>Pending_2_Weeks[[#This Row],[CA | San Jose]]/Listings_New[[#This Row],[CA | San Jose]]</f>
        <v>0.515625</v>
      </c>
      <c r="J31" s="11">
        <f>Pending_2_Weeks[[#This Row],[CA | Ventura]]/Listings_New[[#This Row],[CA | Ventura]]</f>
        <v>0.4007398273736128</v>
      </c>
      <c r="K31" s="11">
        <f>Pending_2_Weeks[[#This Row],[CO | Denver]]/Listings_New[[#This Row],[CO | Denver]]</f>
        <v>0.3005294869454081</v>
      </c>
      <c r="L31" s="11">
        <f>Pending_2_Weeks[[#This Row],[DC | Washington]]/Listings_New[[#This Row],[DC | Washington]]</f>
        <v>0.30256012412723043</v>
      </c>
      <c r="M31" s="11">
        <f>Pending_2_Weeks[[#This Row],[IL | Chicago]]/Listings_New[[#This Row],[IL | Chicago]]</f>
        <v>0.1347201584943041</v>
      </c>
      <c r="N31" s="11">
        <f>Pending_2_Weeks[[#This Row],[MA | Boston]]/Listings_New[[#This Row],[MA | Boston]]</f>
        <v>6.3790849673202615E-2</v>
      </c>
      <c r="O31" s="11">
        <f>Pending_2_Weeks[[#This Row],[MD | Baltimore]]/Listings_New[[#This Row],[MD | Baltimore]]</f>
        <v>0.20427760803142733</v>
      </c>
      <c r="P31" s="11">
        <f>Pending_2_Weeks[[#This Row],[NV | Las Vegas]]/Listings_New[[#This Row],[NV | Las Vegas]]</f>
        <v>0.10673102708500938</v>
      </c>
      <c r="Q31" s="11">
        <f>Pending_2_Weeks[[#This Row],[NY | Long Island]]/Listings_New[[#This Row],[NY | Long Island]]</f>
        <v>6.492679821769573E-2</v>
      </c>
      <c r="R31" s="11">
        <f>Pending_2_Weeks[[#This Row],[OR | Portland]]/Listings_New[[#This Row],[OR | Portland]]</f>
        <v>0.29772329246935203</v>
      </c>
      <c r="S31" s="11">
        <f>Pending_2_Weeks[[#This Row],[PA | Philadelphia]]/Listings_New[[#This Row],[PA | Philadelphia]]</f>
        <v>5.9856996935648624E-2</v>
      </c>
      <c r="T31" s="11">
        <f>Pending_2_Weeks[[#This Row],[TX | Austin]]/Listings_New[[#This Row],[TX | Austin]]</f>
        <v>0.26423759951010412</v>
      </c>
      <c r="U31" s="11">
        <f>Pending_2_Weeks[[#This Row],[WA | Seattle]]/Listings_New[[#This Row],[WA | Seattle]]</f>
        <v>0.35231943628890194</v>
      </c>
      <c r="V31" s="8"/>
      <c r="W31" s="8"/>
    </row>
    <row r="32" spans="1:23" x14ac:dyDescent="0.25">
      <c r="A32" s="5">
        <v>41091</v>
      </c>
      <c r="B32" s="10">
        <f>Pending_2_Weeks[[#This Row],[National]]/Listings_New[[#This Row],[National]]</f>
        <v>0.26709006928406465</v>
      </c>
      <c r="C32" s="11">
        <f>Pending_2_Weeks[[#This Row],[AZ | Phoenix]]/Listings_New[[#This Row],[AZ | Phoenix]]</f>
        <v>0.34410511363636365</v>
      </c>
      <c r="D32" s="11">
        <f>Pending_2_Weeks[[#This Row],[CA | Inland Empire]]/Listings_New[[#This Row],[CA | Inland Empire]]</f>
        <v>0.38692518874399451</v>
      </c>
      <c r="E32" s="11">
        <f>Pending_2_Weeks[[#This Row],[CA | Los Angeles]]/Listings_New[[#This Row],[CA | Los Angeles]]</f>
        <v>0.35676880222841223</v>
      </c>
      <c r="F32" s="11">
        <f>Pending_2_Weeks[[#This Row],[CA | Sacramento]]/Listings_New[[#This Row],[CA | Sacramento]]</f>
        <v>9.3922651933701654E-2</v>
      </c>
      <c r="G32" s="11">
        <f>Pending_2_Weeks[[#This Row],[CA | San Diego]]/Listings_New[[#This Row],[CA | San Diego]]</f>
        <v>0.37252267383271748</v>
      </c>
      <c r="H32" s="11">
        <f>Pending_2_Weeks[[#This Row],[CA | San Francisco]]/Listings_New[[#This Row],[CA | San Francisco]]</f>
        <v>0.47106572401152136</v>
      </c>
      <c r="I32" s="11">
        <f>Pending_2_Weeks[[#This Row],[CA | San Jose]]/Listings_New[[#This Row],[CA | San Jose]]</f>
        <v>0.48605877920120572</v>
      </c>
      <c r="J32" s="11">
        <f>Pending_2_Weeks[[#This Row],[CA | Ventura]]/Listings_New[[#This Row],[CA | Ventura]]</f>
        <v>0.37751004016064255</v>
      </c>
      <c r="K32" s="11">
        <f>Pending_2_Weeks[[#This Row],[CO | Denver]]/Listings_New[[#This Row],[CO | Denver]]</f>
        <v>0.2814678146781468</v>
      </c>
      <c r="L32" s="11">
        <f>Pending_2_Weeks[[#This Row],[DC | Washington]]/Listings_New[[#This Row],[DC | Washington]]</f>
        <v>0.30247349823321557</v>
      </c>
      <c r="M32" s="11">
        <f>Pending_2_Weeks[[#This Row],[IL | Chicago]]/Listings_New[[#This Row],[IL | Chicago]]</f>
        <v>0.12850045167118337</v>
      </c>
      <c r="N32" s="11">
        <f>Pending_2_Weeks[[#This Row],[MA | Boston]]/Listings_New[[#This Row],[MA | Boston]]</f>
        <v>7.6579451180599875E-2</v>
      </c>
      <c r="O32" s="11">
        <f>Pending_2_Weeks[[#This Row],[MD | Baltimore]]/Listings_New[[#This Row],[MD | Baltimore]]</f>
        <v>0.22846079380445306</v>
      </c>
      <c r="P32" s="11">
        <f>Pending_2_Weeks[[#This Row],[NV | Las Vegas]]/Listings_New[[#This Row],[NV | Las Vegas]]</f>
        <v>8.6593635889410533E-2</v>
      </c>
      <c r="Q32" s="11">
        <f>Pending_2_Weeks[[#This Row],[NY | Long Island]]/Listings_New[[#This Row],[NY | Long Island]]</f>
        <v>6.4827586206896548E-2</v>
      </c>
      <c r="R32" s="11">
        <f>Pending_2_Weeks[[#This Row],[OR | Portland]]/Listings_New[[#This Row],[OR | Portland]]</f>
        <v>0.27326266195524146</v>
      </c>
      <c r="S32" s="11">
        <f>Pending_2_Weeks[[#This Row],[PA | Philadelphia]]/Listings_New[[#This Row],[PA | Philadelphia]]</f>
        <v>6.2330623306233061E-2</v>
      </c>
      <c r="T32" s="11">
        <f>Pending_2_Weeks[[#This Row],[TX | Austin]]/Listings_New[[#This Row],[TX | Austin]]</f>
        <v>0.24860529986052998</v>
      </c>
      <c r="U32" s="11">
        <f>Pending_2_Weeks[[#This Row],[WA | Seattle]]/Listings_New[[#This Row],[WA | Seattle]]</f>
        <v>0.33800494641384998</v>
      </c>
    </row>
    <row r="33" spans="1:21" x14ac:dyDescent="0.25">
      <c r="A33" s="5">
        <v>41122</v>
      </c>
      <c r="B33" s="10">
        <f>Pending_2_Weeks[[#This Row],[National]]/Listings_New[[#This Row],[National]]</f>
        <v>0.26353589763042762</v>
      </c>
      <c r="C33" s="11">
        <f>Pending_2_Weeks[[#This Row],[AZ | Phoenix]]/Listings_New[[#This Row],[AZ | Phoenix]]</f>
        <v>0.31648465938637543</v>
      </c>
      <c r="D33" s="11">
        <f>Pending_2_Weeks[[#This Row],[CA | Inland Empire]]/Listings_New[[#This Row],[CA | Inland Empire]]</f>
        <v>0.38089047773805657</v>
      </c>
      <c r="E33" s="11">
        <f>Pending_2_Weeks[[#This Row],[CA | Los Angeles]]/Listings_New[[#This Row],[CA | Los Angeles]]</f>
        <v>0.36824633699633702</v>
      </c>
      <c r="F33" s="11">
        <f>Pending_2_Weeks[[#This Row],[CA | Sacramento]]/Listings_New[[#This Row],[CA | Sacramento]]</f>
        <v>6.4896755162241887E-2</v>
      </c>
      <c r="G33" s="11">
        <f>Pending_2_Weeks[[#This Row],[CA | San Diego]]/Listings_New[[#This Row],[CA | San Diego]]</f>
        <v>0.37418300653594772</v>
      </c>
      <c r="H33" s="11">
        <f>Pending_2_Weeks[[#This Row],[CA | San Francisco]]/Listings_New[[#This Row],[CA | San Francisco]]</f>
        <v>0.4338758901322482</v>
      </c>
      <c r="I33" s="11">
        <f>Pending_2_Weeks[[#This Row],[CA | San Jose]]/Listings_New[[#This Row],[CA | San Jose]]</f>
        <v>0.49233128834355827</v>
      </c>
      <c r="J33" s="11">
        <f>Pending_2_Weeks[[#This Row],[CA | Ventura]]/Listings_New[[#This Row],[CA | Ventura]]</f>
        <v>0.40366972477064222</v>
      </c>
      <c r="K33" s="11">
        <f>Pending_2_Weeks[[#This Row],[CO | Denver]]/Listings_New[[#This Row],[CO | Denver]]</f>
        <v>0.28420000000000001</v>
      </c>
      <c r="L33" s="11">
        <f>Pending_2_Weeks[[#This Row],[DC | Washington]]/Listings_New[[#This Row],[DC | Washington]]</f>
        <v>0.30128349470839899</v>
      </c>
      <c r="M33" s="11">
        <f>Pending_2_Weeks[[#This Row],[IL | Chicago]]/Listings_New[[#This Row],[IL | Chicago]]</f>
        <v>0.12545085662759242</v>
      </c>
      <c r="N33" s="11">
        <f>Pending_2_Weeks[[#This Row],[MA | Boston]]/Listings_New[[#This Row],[MA | Boston]]</f>
        <v>6.9173942243116182E-2</v>
      </c>
      <c r="O33" s="11">
        <f>Pending_2_Weeks[[#This Row],[MD | Baltimore]]/Listings_New[[#This Row],[MD | Baltimore]]</f>
        <v>0.18972533062054933</v>
      </c>
      <c r="P33" s="11">
        <f>Pending_2_Weeks[[#This Row],[NV | Las Vegas]]/Listings_New[[#This Row],[NV | Las Vegas]]</f>
        <v>0.10548841893252769</v>
      </c>
      <c r="Q33" s="11">
        <f>Pending_2_Weeks[[#This Row],[NY | Long Island]]/Listings_New[[#This Row],[NY | Long Island]]</f>
        <v>5.7575757575757579E-2</v>
      </c>
      <c r="R33" s="11">
        <f>Pending_2_Weeks[[#This Row],[OR | Portland]]/Listings_New[[#This Row],[OR | Portland]]</f>
        <v>0.26077652094160808</v>
      </c>
      <c r="S33" s="11">
        <f>Pending_2_Weeks[[#This Row],[PA | Philadelphia]]/Listings_New[[#This Row],[PA | Philadelphia]]</f>
        <v>6.3146067415730339E-2</v>
      </c>
      <c r="T33" s="11">
        <f>Pending_2_Weeks[[#This Row],[TX | Austin]]/Listings_New[[#This Row],[TX | Austin]]</f>
        <v>0.2472795497185741</v>
      </c>
      <c r="U33" s="11">
        <f>Pending_2_Weeks[[#This Row],[WA | Seattle]]/Listings_New[[#This Row],[WA | Seattle]]</f>
        <v>0.32467532467532467</v>
      </c>
    </row>
    <row r="34" spans="1:21" s="11" customFormat="1" x14ac:dyDescent="0.25">
      <c r="A34" s="5">
        <v>41153</v>
      </c>
      <c r="B34" s="10">
        <f>Pending_2_Weeks[[#This Row],[National]]/Listings_New[[#This Row],[National]]</f>
        <v>0.26274418349429324</v>
      </c>
      <c r="C34" s="11">
        <f>Pending_2_Weeks[[#This Row],[AZ | Phoenix]]/Listings_New[[#This Row],[AZ | Phoenix]]</f>
        <v>0.30324434334969474</v>
      </c>
      <c r="D34" s="11">
        <f>Pending_2_Weeks[[#This Row],[CA | Inland Empire]]/Listings_New[[#This Row],[CA | Inland Empire]]</f>
        <v>0.36613039796782387</v>
      </c>
      <c r="E34" s="11">
        <f>Pending_2_Weeks[[#This Row],[CA | Los Angeles]]/Listings_New[[#This Row],[CA | Los Angeles]]</f>
        <v>0.38856564634454843</v>
      </c>
      <c r="F34" s="11">
        <f>Pending_2_Weeks[[#This Row],[CA | Sacramento]]/Listings_New[[#This Row],[CA | Sacramento]]</f>
        <v>4.2606516290726815E-2</v>
      </c>
      <c r="G34" s="11">
        <f>Pending_2_Weeks[[#This Row],[CA | San Diego]]/Listings_New[[#This Row],[CA | San Diego]]</f>
        <v>0.38161764705882351</v>
      </c>
      <c r="H34" s="11">
        <f>Pending_2_Weeks[[#This Row],[CA | San Francisco]]/Listings_New[[#This Row],[CA | San Francisco]]</f>
        <v>0.44941687008407921</v>
      </c>
      <c r="I34" s="11">
        <f>Pending_2_Weeks[[#This Row],[CA | San Jose]]/Listings_New[[#This Row],[CA | San Jose]]</f>
        <v>0.5372250423011844</v>
      </c>
      <c r="J34" s="11">
        <f>Pending_2_Weeks[[#This Row],[CA | Ventura]]/Listings_New[[#This Row],[CA | Ventura]]</f>
        <v>0.46082949308755761</v>
      </c>
      <c r="K34" s="11">
        <f>Pending_2_Weeks[[#This Row],[CO | Denver]]/Listings_New[[#This Row],[CO | Denver]]</f>
        <v>0.28641251221896386</v>
      </c>
      <c r="L34" s="11">
        <f>Pending_2_Weeks[[#This Row],[DC | Washington]]/Listings_New[[#This Row],[DC | Washington]]</f>
        <v>0.28879120879120879</v>
      </c>
      <c r="M34" s="11">
        <f>Pending_2_Weeks[[#This Row],[IL | Chicago]]/Listings_New[[#This Row],[IL | Chicago]]</f>
        <v>0.1350981854337559</v>
      </c>
      <c r="N34" s="11">
        <f>Pending_2_Weeks[[#This Row],[MA | Boston]]/Listings_New[[#This Row],[MA | Boston]]</f>
        <v>7.8896551724137925E-2</v>
      </c>
      <c r="O34" s="11">
        <f>Pending_2_Weeks[[#This Row],[MD | Baltimore]]/Listings_New[[#This Row],[MD | Baltimore]]</f>
        <v>0.18926103136629452</v>
      </c>
      <c r="P34" s="11">
        <f>Pending_2_Weeks[[#This Row],[NV | Las Vegas]]/Listings_New[[#This Row],[NV | Las Vegas]]</f>
        <v>9.0934764190906528E-2</v>
      </c>
      <c r="Q34" s="11">
        <f>Pending_2_Weeks[[#This Row],[NY | Long Island]]/Listings_New[[#This Row],[NY | Long Island]]</f>
        <v>6.3291139240506333E-2</v>
      </c>
      <c r="R34" s="11">
        <f>Pending_2_Weeks[[#This Row],[OR | Portland]]/Listings_New[[#This Row],[OR | Portland]]</f>
        <v>0.27033048644634239</v>
      </c>
      <c r="S34" s="11">
        <f>Pending_2_Weeks[[#This Row],[PA | Philadelphia]]/Listings_New[[#This Row],[PA | Philadelphia]]</f>
        <v>6.9627573444367333E-2</v>
      </c>
      <c r="T34" s="11">
        <f>Pending_2_Weeks[[#This Row],[TX | Austin]]/Listings_New[[#This Row],[TX | Austin]]</f>
        <v>0.24015556635877491</v>
      </c>
      <c r="U34" s="11">
        <f>Pending_2_Weeks[[#This Row],[WA | Seattle]]/Listings_New[[#This Row],[WA | Seattle]]</f>
        <v>0.3327433628318584</v>
      </c>
    </row>
    <row r="35" spans="1:21" s="11" customFormat="1" x14ac:dyDescent="0.25">
      <c r="A35" s="5">
        <v>41183</v>
      </c>
      <c r="B35" s="10">
        <f>Pending_2_Weeks[[#This Row],[National]]/Listings_New[[#This Row],[National]]</f>
        <v>0.27595309547626989</v>
      </c>
      <c r="C35" s="11">
        <f>Pending_2_Weeks[[#This Row],[AZ | Phoenix]]/Listings_New[[#This Row],[AZ | Phoenix]]</f>
        <v>0.28765323992994746</v>
      </c>
      <c r="D35" s="11">
        <f>Pending_2_Weeks[[#This Row],[CA | Inland Empire]]/Listings_New[[#This Row],[CA | Inland Empire]]</f>
        <v>0.37682771773680862</v>
      </c>
      <c r="E35" s="11">
        <f>Pending_2_Weeks[[#This Row],[CA | Los Angeles]]/Listings_New[[#This Row],[CA | Los Angeles]]</f>
        <v>0.41066282420749278</v>
      </c>
      <c r="F35" s="11">
        <f>Pending_2_Weeks[[#This Row],[CA | Sacramento]]/Listings_New[[#This Row],[CA | Sacramento]]</f>
        <v>6.4766839378238336E-2</v>
      </c>
      <c r="G35" s="11">
        <f>Pending_2_Weeks[[#This Row],[CA | San Diego]]/Listings_New[[#This Row],[CA | San Diego]]</f>
        <v>0.39886444286728179</v>
      </c>
      <c r="H35" s="11">
        <f>Pending_2_Weeks[[#This Row],[CA | San Francisco]]/Listings_New[[#This Row],[CA | San Francisco]]</f>
        <v>0.45897361554073646</v>
      </c>
      <c r="I35" s="11">
        <f>Pending_2_Weeks[[#This Row],[CA | San Jose]]/Listings_New[[#This Row],[CA | San Jose]]</f>
        <v>0.55037468776019982</v>
      </c>
      <c r="J35" s="11">
        <f>Pending_2_Weeks[[#This Row],[CA | Ventura]]/Listings_New[[#This Row],[CA | Ventura]]</f>
        <v>0.48106591865357645</v>
      </c>
      <c r="K35" s="11">
        <f>Pending_2_Weeks[[#This Row],[CO | Denver]]/Listings_New[[#This Row],[CO | Denver]]</f>
        <v>0.28702101359703336</v>
      </c>
      <c r="L35" s="11">
        <f>Pending_2_Weeks[[#This Row],[DC | Washington]]/Listings_New[[#This Row],[DC | Washington]]</f>
        <v>0.31242631454845554</v>
      </c>
      <c r="M35" s="11">
        <f>Pending_2_Weeks[[#This Row],[IL | Chicago]]/Listings_New[[#This Row],[IL | Chicago]]</f>
        <v>0.14543147208121826</v>
      </c>
      <c r="N35" s="11">
        <f>Pending_2_Weeks[[#This Row],[MA | Boston]]/Listings_New[[#This Row],[MA | Boston]]</f>
        <v>7.681660899653979E-2</v>
      </c>
      <c r="O35" s="11">
        <f>Pending_2_Weeks[[#This Row],[MD | Baltimore]]/Listings_New[[#This Row],[MD | Baltimore]]</f>
        <v>0.20644796380090497</v>
      </c>
      <c r="P35" s="11">
        <f>Pending_2_Weeks[[#This Row],[NV | Las Vegas]]/Listings_New[[#This Row],[NV | Las Vegas]]</f>
        <v>0.10675862068965518</v>
      </c>
      <c r="Q35" s="11">
        <f>Pending_2_Weeks[[#This Row],[NY | Long Island]]/Listings_New[[#This Row],[NY | Long Island]]</f>
        <v>5.2347320315745745E-2</v>
      </c>
      <c r="R35" s="11">
        <f>Pending_2_Weeks[[#This Row],[OR | Portland]]/Listings_New[[#This Row],[OR | Portland]]</f>
        <v>0.24738270647537805</v>
      </c>
      <c r="S35" s="11">
        <f>Pending_2_Weeks[[#This Row],[PA | Philadelphia]]/Listings_New[[#This Row],[PA | Philadelphia]]</f>
        <v>6.8572874493927127E-2</v>
      </c>
      <c r="T35" s="11">
        <f>Pending_2_Weeks[[#This Row],[TX | Austin]]/Listings_New[[#This Row],[TX | Austin]]</f>
        <v>0.26912442396313363</v>
      </c>
      <c r="U35" s="11">
        <f>Pending_2_Weeks[[#This Row],[WA | Seattle]]/Listings_New[[#This Row],[WA | Seattle]]</f>
        <v>0.36181640625</v>
      </c>
    </row>
    <row r="36" spans="1:21" x14ac:dyDescent="0.25">
      <c r="A36" s="5">
        <v>41214</v>
      </c>
      <c r="B36" s="10">
        <f>Pending_2_Weeks[[#This Row],[National]]/Listings_New[[#This Row],[National]]</f>
        <v>0.27416863448324841</v>
      </c>
      <c r="C36" s="11">
        <f>Pending_2_Weeks[[#This Row],[AZ | Phoenix]]/Listings_New[[#This Row],[AZ | Phoenix]]</f>
        <v>0.27116047491382611</v>
      </c>
      <c r="D36" s="11">
        <f>Pending_2_Weeks[[#This Row],[CA | Inland Empire]]/Listings_New[[#This Row],[CA | Inland Empire]]</f>
        <v>0.34502262443438914</v>
      </c>
      <c r="E36" s="11">
        <f>Pending_2_Weeks[[#This Row],[CA | Los Angeles]]/Listings_New[[#This Row],[CA | Los Angeles]]</f>
        <v>0.41274320510916385</v>
      </c>
      <c r="F36" s="11">
        <f>Pending_2_Weeks[[#This Row],[CA | Sacramento]]/Listings_New[[#This Row],[CA | Sacramento]]</f>
        <v>8.098591549295775E-2</v>
      </c>
      <c r="G36" s="11">
        <f>Pending_2_Weeks[[#This Row],[CA | San Diego]]/Listings_New[[#This Row],[CA | San Diego]]</f>
        <v>0.38611713665943603</v>
      </c>
      <c r="H36" s="11">
        <f>Pending_2_Weeks[[#This Row],[CA | San Francisco]]/Listings_New[[#This Row],[CA | San Francisco]]</f>
        <v>0.48793677204658903</v>
      </c>
      <c r="I36" s="11">
        <f>Pending_2_Weeks[[#This Row],[CA | San Jose]]/Listings_New[[#This Row],[CA | San Jose]]</f>
        <v>0.56088992974238872</v>
      </c>
      <c r="J36" s="11">
        <f>Pending_2_Weeks[[#This Row],[CA | Ventura]]/Listings_New[[#This Row],[CA | Ventura]]</f>
        <v>0.45910780669144979</v>
      </c>
      <c r="K36" s="11">
        <f>Pending_2_Weeks[[#This Row],[CO | Denver]]/Listings_New[[#This Row],[CO | Denver]]</f>
        <v>0.27604690117252934</v>
      </c>
      <c r="L36" s="11">
        <f>Pending_2_Weeks[[#This Row],[DC | Washington]]/Listings_New[[#This Row],[DC | Washington]]</f>
        <v>0.31887599266951738</v>
      </c>
      <c r="M36" s="11">
        <f>Pending_2_Weeks[[#This Row],[IL | Chicago]]/Listings_New[[#This Row],[IL | Chicago]]</f>
        <v>0.14200099883469286</v>
      </c>
      <c r="N36" s="11">
        <f>Pending_2_Weeks[[#This Row],[MA | Boston]]/Listings_New[[#This Row],[MA | Boston]]</f>
        <v>7.9187817258883242E-2</v>
      </c>
      <c r="O36" s="11">
        <f>Pending_2_Weeks[[#This Row],[MD | Baltimore]]/Listings_New[[#This Row],[MD | Baltimore]]</f>
        <v>0.2273391812865497</v>
      </c>
      <c r="P36" s="11">
        <f>Pending_2_Weeks[[#This Row],[NV | Las Vegas]]/Listings_New[[#This Row],[NV | Las Vegas]]</f>
        <v>0.10952865378094269</v>
      </c>
      <c r="Q36" s="11">
        <f>Pending_2_Weeks[[#This Row],[NY | Long Island]]/Listings_New[[#This Row],[NY | Long Island]]</f>
        <v>7.6973255055446832E-2</v>
      </c>
      <c r="R36" s="11">
        <f>Pending_2_Weeks[[#This Row],[OR | Portland]]/Listings_New[[#This Row],[OR | Portland]]</f>
        <v>0.25240641711229944</v>
      </c>
      <c r="S36" s="11">
        <f>Pending_2_Weeks[[#This Row],[PA | Philadelphia]]/Listings_New[[#This Row],[PA | Philadelphia]]</f>
        <v>6.6976127320954912E-2</v>
      </c>
      <c r="T36" s="11">
        <f>Pending_2_Weeks[[#This Row],[TX | Austin]]/Listings_New[[#This Row],[TX | Austin]]</f>
        <v>0.25509110396570206</v>
      </c>
      <c r="U36" s="11">
        <f>Pending_2_Weeks[[#This Row],[WA | Seattle]]/Listings_New[[#This Row],[WA | Seattle]]</f>
        <v>0.34613003095975231</v>
      </c>
    </row>
    <row r="37" spans="1:21" x14ac:dyDescent="0.25">
      <c r="A37" s="5">
        <v>41244</v>
      </c>
      <c r="B37" s="10">
        <f>Pending_2_Weeks[[#This Row],[National]]/Listings_New[[#This Row],[National]]</f>
        <v>0.26235889451148309</v>
      </c>
      <c r="C37" s="11">
        <f>Pending_2_Weeks[[#This Row],[AZ | Phoenix]]/Listings_New[[#This Row],[AZ | Phoenix]]</f>
        <v>0.26387009472259809</v>
      </c>
      <c r="D37" s="11">
        <f>Pending_2_Weeks[[#This Row],[CA | Inland Empire]]/Listings_New[[#This Row],[CA | Inland Empire]]</f>
        <v>0.35882081989866421</v>
      </c>
      <c r="E37" s="11">
        <f>Pending_2_Weeks[[#This Row],[CA | Los Angeles]]/Listings_New[[#This Row],[CA | Los Angeles]]</f>
        <v>0.38285825849277627</v>
      </c>
      <c r="F37" s="11">
        <f>Pending_2_Weeks[[#This Row],[CA | Sacramento]]/Listings_New[[#This Row],[CA | Sacramento]]</f>
        <v>2.4390243902439025E-2</v>
      </c>
      <c r="G37" s="11">
        <f>Pending_2_Weeks[[#This Row],[CA | San Diego]]/Listings_New[[#This Row],[CA | San Diego]]</f>
        <v>0.37172774869109948</v>
      </c>
      <c r="H37" s="11">
        <f>Pending_2_Weeks[[#This Row],[CA | San Francisco]]/Listings_New[[#This Row],[CA | San Francisco]]</f>
        <v>0.46016646848989301</v>
      </c>
      <c r="I37" s="11">
        <f>Pending_2_Weeks[[#This Row],[CA | San Jose]]/Listings_New[[#This Row],[CA | San Jose]]</f>
        <v>0.55909943714821764</v>
      </c>
      <c r="J37" s="11">
        <f>Pending_2_Weeks[[#This Row],[CA | Ventura]]/Listings_New[[#This Row],[CA | Ventura]]</f>
        <v>0.42222222222222222</v>
      </c>
      <c r="K37" s="11">
        <f>Pending_2_Weeks[[#This Row],[CO | Denver]]/Listings_New[[#This Row],[CO | Denver]]</f>
        <v>0.26366418889374726</v>
      </c>
      <c r="L37" s="11">
        <f>Pending_2_Weeks[[#This Row],[DC | Washington]]/Listings_New[[#This Row],[DC | Washington]]</f>
        <v>0.30816077953714982</v>
      </c>
      <c r="M37" s="11">
        <f>Pending_2_Weeks[[#This Row],[IL | Chicago]]/Listings_New[[#This Row],[IL | Chicago]]</f>
        <v>0.1294869385453862</v>
      </c>
      <c r="N37" s="11">
        <f>Pending_2_Weeks[[#This Row],[MA | Boston]]/Listings_New[[#This Row],[MA | Boston]]</f>
        <v>0.1</v>
      </c>
      <c r="O37" s="11">
        <f>Pending_2_Weeks[[#This Row],[MD | Baltimore]]/Listings_New[[#This Row],[MD | Baltimore]]</f>
        <v>0.20239282153539381</v>
      </c>
      <c r="P37" s="11">
        <f>Pending_2_Weeks[[#This Row],[NV | Las Vegas]]/Listings_New[[#This Row],[NV | Las Vegas]]</f>
        <v>0.11873459326211996</v>
      </c>
      <c r="Q37" s="11">
        <f>Pending_2_Weeks[[#This Row],[NY | Long Island]]/Listings_New[[#This Row],[NY | Long Island]]</f>
        <v>7.5976845151953687E-2</v>
      </c>
      <c r="R37" s="11">
        <f>Pending_2_Weeks[[#This Row],[OR | Portland]]/Listings_New[[#This Row],[OR | Portland]]</f>
        <v>0.27036276522929498</v>
      </c>
      <c r="S37" s="11">
        <f>Pending_2_Weeks[[#This Row],[PA | Philadelphia]]/Listings_New[[#This Row],[PA | Philadelphia]]</f>
        <v>7.3078736445073081E-2</v>
      </c>
      <c r="T37" s="11">
        <f>Pending_2_Weeks[[#This Row],[TX | Austin]]/Listings_New[[#This Row],[TX | Austin]]</f>
        <v>0.26559060895084374</v>
      </c>
      <c r="U37" s="11">
        <f>Pending_2_Weeks[[#This Row],[WA | Seattle]]/Listings_New[[#This Row],[WA | Seattle]]</f>
        <v>0.30728376327769347</v>
      </c>
    </row>
    <row r="38" spans="1:21" x14ac:dyDescent="0.25">
      <c r="A38" s="5">
        <v>41275</v>
      </c>
      <c r="B38" s="10">
        <f>Pending_2_Weeks[[#This Row],[National]]/Listings_New[[#This Row],[National]]</f>
        <v>0.29867087051473035</v>
      </c>
      <c r="C38" s="11">
        <f>Pending_2_Weeks[[#This Row],[AZ | Phoenix]]/Listings_New[[#This Row],[AZ | Phoenix]]</f>
        <v>0.32589448150394179</v>
      </c>
      <c r="D38" s="11">
        <f>Pending_2_Weeks[[#This Row],[CA | Inland Empire]]/Listings_New[[#This Row],[CA | Inland Empire]]</f>
        <v>0.40982776089159068</v>
      </c>
      <c r="E38" s="11">
        <f>Pending_2_Weeks[[#This Row],[CA | Los Angeles]]/Listings_New[[#This Row],[CA | Los Angeles]]</f>
        <v>0.43264578558696204</v>
      </c>
      <c r="F38" s="11">
        <f>Pending_2_Weeks[[#This Row],[CA | Sacramento]]/Listings_New[[#This Row],[CA | Sacramento]]</f>
        <v>7.5630252100840331E-2</v>
      </c>
      <c r="G38" s="11">
        <f>Pending_2_Weeks[[#This Row],[CA | San Diego]]/Listings_New[[#This Row],[CA | San Diego]]</f>
        <v>0.40676193795747645</v>
      </c>
      <c r="H38" s="11">
        <f>Pending_2_Weeks[[#This Row],[CA | San Francisco]]/Listings_New[[#This Row],[CA | San Francisco]]</f>
        <v>0.52490974729241879</v>
      </c>
      <c r="I38" s="11">
        <f>Pending_2_Weeks[[#This Row],[CA | San Jose]]/Listings_New[[#This Row],[CA | San Jose]]</f>
        <v>0.60994475138121551</v>
      </c>
      <c r="J38" s="11">
        <f>Pending_2_Weeks[[#This Row],[CA | Ventura]]/Listings_New[[#This Row],[CA | Ventura]]</f>
        <v>0.45051698670605611</v>
      </c>
      <c r="K38" s="11">
        <f>Pending_2_Weeks[[#This Row],[CO | Denver]]/Listings_New[[#This Row],[CO | Denver]]</f>
        <v>0.37083683179401061</v>
      </c>
      <c r="L38" s="11">
        <f>Pending_2_Weeks[[#This Row],[DC | Washington]]/Listings_New[[#This Row],[DC | Washington]]</f>
        <v>0.38317503392130259</v>
      </c>
      <c r="M38" s="11">
        <f>Pending_2_Weeks[[#This Row],[IL | Chicago]]/Listings_New[[#This Row],[IL | Chicago]]</f>
        <v>0.14791310715157432</v>
      </c>
      <c r="N38" s="11">
        <f>Pending_2_Weeks[[#This Row],[MA | Boston]]/Listings_New[[#This Row],[MA | Boston]]</f>
        <v>7.6399999999999996E-2</v>
      </c>
      <c r="O38" s="11">
        <f>Pending_2_Weeks[[#This Row],[MD | Baltimore]]/Listings_New[[#This Row],[MD | Baltimore]]</f>
        <v>0.23015873015873015</v>
      </c>
      <c r="P38" s="11">
        <f>Pending_2_Weeks[[#This Row],[NV | Las Vegas]]/Listings_New[[#This Row],[NV | Las Vegas]]</f>
        <v>0.12297426120114395</v>
      </c>
      <c r="Q38" s="11">
        <f>Pending_2_Weeks[[#This Row],[NY | Long Island]]/Listings_New[[#This Row],[NY | Long Island]]</f>
        <v>7.3200612557427255E-2</v>
      </c>
      <c r="R38" s="11">
        <f>Pending_2_Weeks[[#This Row],[OR | Portland]]/Listings_New[[#This Row],[OR | Portland]]</f>
        <v>0.29784780937740202</v>
      </c>
      <c r="S38" s="11">
        <f>Pending_2_Weeks[[#This Row],[PA | Philadelphia]]/Listings_New[[#This Row],[PA | Philadelphia]]</f>
        <v>8.0472581364244317E-2</v>
      </c>
      <c r="T38" s="11">
        <f>Pending_2_Weeks[[#This Row],[TX | Austin]]/Listings_New[[#This Row],[TX | Austin]]</f>
        <v>0.37242026266416511</v>
      </c>
      <c r="U38" s="11">
        <f>Pending_2_Weeks[[#This Row],[WA | Seattle]]/Listings_New[[#This Row],[WA | Seattle]]</f>
        <v>0.3571263035921205</v>
      </c>
    </row>
    <row r="39" spans="1:21" x14ac:dyDescent="0.25">
      <c r="A39" s="5">
        <v>41306</v>
      </c>
      <c r="B39" s="10">
        <f>Pending_2_Weeks[[#This Row],[National]]/Listings_New[[#This Row],[National]]</f>
        <v>0.33177034041698933</v>
      </c>
      <c r="C39" s="11">
        <f>Pending_2_Weeks[[#This Row],[AZ | Phoenix]]/Listings_New[[#This Row],[AZ | Phoenix]]</f>
        <v>0.34595081756147805</v>
      </c>
      <c r="D39" s="11">
        <f>Pending_2_Weeks[[#This Row],[CA | Inland Empire]]/Listings_New[[#This Row],[CA | Inland Empire]]</f>
        <v>0.45692368214004719</v>
      </c>
      <c r="E39" s="11">
        <f>Pending_2_Weeks[[#This Row],[CA | Los Angeles]]/Listings_New[[#This Row],[CA | Los Angeles]]</f>
        <v>0.48265440210249672</v>
      </c>
      <c r="F39" s="11">
        <f>Pending_2_Weeks[[#This Row],[CA | Sacramento]]/Listings_New[[#This Row],[CA | Sacramento]]</f>
        <v>0.15023474178403756</v>
      </c>
      <c r="G39" s="11">
        <f>Pending_2_Weeks[[#This Row],[CA | San Diego]]/Listings_New[[#This Row],[CA | San Diego]]</f>
        <v>0.46036001531980086</v>
      </c>
      <c r="H39" s="11">
        <f>Pending_2_Weeks[[#This Row],[CA | San Francisco]]/Listings_New[[#This Row],[CA | San Francisco]]</f>
        <v>0.5535475234270415</v>
      </c>
      <c r="I39" s="11">
        <f>Pending_2_Weeks[[#This Row],[CA | San Jose]]/Listings_New[[#This Row],[CA | San Jose]]</f>
        <v>0.62043795620437958</v>
      </c>
      <c r="J39" s="11">
        <f>Pending_2_Weeks[[#This Row],[CA | Ventura]]/Listings_New[[#This Row],[CA | Ventura]]</f>
        <v>0.49125596184419712</v>
      </c>
      <c r="K39" s="11">
        <f>Pending_2_Weeks[[#This Row],[CO | Denver]]/Listings_New[[#This Row],[CO | Denver]]</f>
        <v>0.40884252359662193</v>
      </c>
      <c r="L39" s="11">
        <f>Pending_2_Weeks[[#This Row],[DC | Washington]]/Listings_New[[#This Row],[DC | Washington]]</f>
        <v>0.39275956284153007</v>
      </c>
      <c r="M39" s="11">
        <f>Pending_2_Weeks[[#This Row],[IL | Chicago]]/Listings_New[[#This Row],[IL | Chicago]]</f>
        <v>0.18294024196504949</v>
      </c>
      <c r="N39" s="11">
        <f>Pending_2_Weeks[[#This Row],[MA | Boston]]/Listings_New[[#This Row],[MA | Boston]]</f>
        <v>7.1345482745250099E-2</v>
      </c>
      <c r="O39" s="11">
        <f>Pending_2_Weeks[[#This Row],[MD | Baltimore]]/Listings_New[[#This Row],[MD | Baltimore]]</f>
        <v>0.24056603773584906</v>
      </c>
      <c r="P39" s="11">
        <f>Pending_2_Weeks[[#This Row],[NV | Las Vegas]]/Listings_New[[#This Row],[NV | Las Vegas]]</f>
        <v>0.13615023474178403</v>
      </c>
      <c r="Q39" s="11">
        <f>Pending_2_Weeks[[#This Row],[NY | Long Island]]/Listings_New[[#This Row],[NY | Long Island]]</f>
        <v>8.838203848895225E-2</v>
      </c>
      <c r="R39" s="11">
        <f>Pending_2_Weeks[[#This Row],[OR | Portland]]/Listings_New[[#This Row],[OR | Portland]]</f>
        <v>0.35817575083426029</v>
      </c>
      <c r="S39" s="11">
        <f>Pending_2_Weeks[[#This Row],[PA | Philadelphia]]/Listings_New[[#This Row],[PA | Philadelphia]]</f>
        <v>9.396249742427365E-2</v>
      </c>
      <c r="T39" s="11">
        <f>Pending_2_Weeks[[#This Row],[TX | Austin]]/Listings_New[[#This Row],[TX | Austin]]</f>
        <v>0.38292964244521338</v>
      </c>
      <c r="U39" s="11">
        <f>Pending_2_Weeks[[#This Row],[WA | Seattle]]/Listings_New[[#This Row],[WA | Seattle]]</f>
        <v>0.43666666666666665</v>
      </c>
    </row>
    <row r="40" spans="1:21" x14ac:dyDescent="0.25">
      <c r="A40" s="5">
        <v>41334</v>
      </c>
      <c r="B40" s="10">
        <f>Pending_2_Weeks[[#This Row],[National]]/Listings_New[[#This Row],[National]]</f>
        <v>0.35919358510611388</v>
      </c>
      <c r="C40" s="11">
        <f>Pending_2_Weeks[[#This Row],[AZ | Phoenix]]/Listings_New[[#This Row],[AZ | Phoenix]]</f>
        <v>0.39118198874296434</v>
      </c>
      <c r="D40" s="11">
        <f>Pending_2_Weeks[[#This Row],[CA | Inland Empire]]/Listings_New[[#This Row],[CA | Inland Empire]]</f>
        <v>0.46231155778894473</v>
      </c>
      <c r="E40" s="11">
        <f>Pending_2_Weeks[[#This Row],[CA | Los Angeles]]/Listings_New[[#This Row],[CA | Los Angeles]]</f>
        <v>0.48895128799902332</v>
      </c>
      <c r="F40" s="11">
        <f>Pending_2_Weeks[[#This Row],[CA | Sacramento]]/Listings_New[[#This Row],[CA | Sacramento]]</f>
        <v>0.11855670103092783</v>
      </c>
      <c r="G40" s="11">
        <f>Pending_2_Weeks[[#This Row],[CA | San Diego]]/Listings_New[[#This Row],[CA | San Diego]]</f>
        <v>0.47041800643086817</v>
      </c>
      <c r="H40" s="11">
        <f>Pending_2_Weeks[[#This Row],[CA | San Francisco]]/Listings_New[[#This Row],[CA | San Francisco]]</f>
        <v>0.56482269503546101</v>
      </c>
      <c r="I40" s="11">
        <f>Pending_2_Weeks[[#This Row],[CA | San Jose]]/Listings_New[[#This Row],[CA | San Jose]]</f>
        <v>0.62151702786377705</v>
      </c>
      <c r="J40" s="11">
        <f>Pending_2_Weeks[[#This Row],[CA | Ventura]]/Listings_New[[#This Row],[CA | Ventura]]</f>
        <v>0.50857142857142856</v>
      </c>
      <c r="K40" s="11">
        <f>Pending_2_Weeks[[#This Row],[CO | Denver]]/Listings_New[[#This Row],[CO | Denver]]</f>
        <v>0.46473370347522108</v>
      </c>
      <c r="L40" s="11">
        <f>Pending_2_Weeks[[#This Row],[DC | Washington]]/Listings_New[[#This Row],[DC | Washington]]</f>
        <v>0.41722086104305217</v>
      </c>
      <c r="M40" s="11">
        <f>Pending_2_Weeks[[#This Row],[IL | Chicago]]/Listings_New[[#This Row],[IL | Chicago]]</f>
        <v>0.17022101589763475</v>
      </c>
      <c r="N40" s="11">
        <f>Pending_2_Weeks[[#This Row],[MA | Boston]]/Listings_New[[#This Row],[MA | Boston]]</f>
        <v>7.6965978806469604E-2</v>
      </c>
      <c r="O40" s="11">
        <f>Pending_2_Weeks[[#This Row],[MD | Baltimore]]/Listings_New[[#This Row],[MD | Baltimore]]</f>
        <v>0.27228525121555913</v>
      </c>
      <c r="P40" s="11">
        <f>Pending_2_Weeks[[#This Row],[NV | Las Vegas]]/Listings_New[[#This Row],[NV | Las Vegas]]</f>
        <v>2.0357142857142856</v>
      </c>
      <c r="Q40" s="11">
        <f>Pending_2_Weeks[[#This Row],[NY | Long Island]]/Listings_New[[#This Row],[NY | Long Island]]</f>
        <v>0.11302442078897934</v>
      </c>
      <c r="R40" s="11">
        <f>Pending_2_Weeks[[#This Row],[OR | Portland]]/Listings_New[[#This Row],[OR | Portland]]</f>
        <v>0.39572358227455839</v>
      </c>
      <c r="S40" s="11">
        <f>Pending_2_Weeks[[#This Row],[PA | Philadelphia]]/Listings_New[[#This Row],[PA | Philadelphia]]</f>
        <v>9.106182795698925E-2</v>
      </c>
      <c r="T40" s="11">
        <f>Pending_2_Weeks[[#This Row],[TX | Austin]]/Listings_New[[#This Row],[TX | Austin]]</f>
        <v>0.44928940568475451</v>
      </c>
      <c r="U40" s="11">
        <f>Pending_2_Weeks[[#This Row],[WA | Seattle]]/Listings_New[[#This Row],[WA | Seattle]]</f>
        <v>0.46518630033872788</v>
      </c>
    </row>
    <row r="41" spans="1:21" x14ac:dyDescent="0.25">
      <c r="A41" s="5">
        <v>41365</v>
      </c>
      <c r="B41" s="10">
        <f>Pending_2_Weeks[[#This Row],[National]]/Listings_New[[#This Row],[National]]</f>
        <v>0.34092939655444254</v>
      </c>
      <c r="C41" s="11">
        <f>Pending_2_Weeks[[#This Row],[AZ | Phoenix]]/Listings_New[[#This Row],[AZ | Phoenix]]</f>
        <v>0.41556291390728478</v>
      </c>
      <c r="D41" s="11">
        <f>Pending_2_Weeks[[#This Row],[CA | Inland Empire]]/Listings_New[[#This Row],[CA | Inland Empire]]</f>
        <v>0.46031471554556458</v>
      </c>
      <c r="E41" s="11">
        <f>Pending_2_Weeks[[#This Row],[CA | Los Angeles]]/Listings_New[[#This Row],[CA | Los Angeles]]</f>
        <v>0.47787028921998248</v>
      </c>
      <c r="F41" s="11">
        <f>Pending_2_Weeks[[#This Row],[CA | Sacramento]]/Listings_New[[#This Row],[CA | Sacramento]]</f>
        <v>0.12</v>
      </c>
      <c r="G41" s="11">
        <f>Pending_2_Weeks[[#This Row],[CA | San Diego]]/Listings_New[[#This Row],[CA | San Diego]]</f>
        <v>0.45289045033535613</v>
      </c>
      <c r="H41" s="11">
        <f>Pending_2_Weeks[[#This Row],[CA | San Francisco]]/Listings_New[[#This Row],[CA | San Francisco]]</f>
        <v>0.55587324279247086</v>
      </c>
      <c r="I41" s="11">
        <f>Pending_2_Weeks[[#This Row],[CA | San Jose]]/Listings_New[[#This Row],[CA | San Jose]]</f>
        <v>0.61454792658055746</v>
      </c>
      <c r="J41" s="11">
        <f>Pending_2_Weeks[[#This Row],[CA | Ventura]]/Listings_New[[#This Row],[CA | Ventura]]</f>
        <v>0.4795031055900621</v>
      </c>
      <c r="K41" s="11">
        <f>Pending_2_Weeks[[#This Row],[CO | Denver]]/Listings_New[[#This Row],[CO | Denver]]</f>
        <v>0.46461071789686553</v>
      </c>
      <c r="L41" s="11">
        <f>Pending_2_Weeks[[#This Row],[DC | Washington]]/Listings_New[[#This Row],[DC | Washington]]</f>
        <v>0.43489659190212643</v>
      </c>
      <c r="M41" s="11">
        <f>Pending_2_Weeks[[#This Row],[IL | Chicago]]/Listings_New[[#This Row],[IL | Chicago]]</f>
        <v>0.20511665615710295</v>
      </c>
      <c r="N41" s="11">
        <f>Pending_2_Weeks[[#This Row],[MA | Boston]]/Listings_New[[#This Row],[MA | Boston]]</f>
        <v>9.3773873185637888E-2</v>
      </c>
      <c r="O41" s="11">
        <f>Pending_2_Weeks[[#This Row],[MD | Baltimore]]/Listings_New[[#This Row],[MD | Baltimore]]</f>
        <v>0.30748840291583829</v>
      </c>
      <c r="P41" s="11">
        <f>Pending_2_Weeks[[#This Row],[NV | Las Vegas]]/Listings_New[[#This Row],[NV | Las Vegas]]</f>
        <v>0.11890087313816128</v>
      </c>
      <c r="Q41" s="11">
        <f>Pending_2_Weeks[[#This Row],[NY | Long Island]]/Listings_New[[#This Row],[NY | Long Island]]</f>
        <v>7.0633205916569713E-2</v>
      </c>
      <c r="R41" s="11">
        <f>Pending_2_Weeks[[#This Row],[OR | Portland]]/Listings_New[[#This Row],[OR | Portland]]</f>
        <v>0.40294269488900364</v>
      </c>
      <c r="S41" s="11">
        <f>Pending_2_Weeks[[#This Row],[PA | Philadelphia]]/Listings_New[[#This Row],[PA | Philadelphia]]</f>
        <v>0.10497237569060773</v>
      </c>
      <c r="T41" s="11">
        <f>Pending_2_Weeks[[#This Row],[TX | Austin]]/Listings_New[[#This Row],[TX | Austin]]</f>
        <v>0.44693396226415094</v>
      </c>
      <c r="U41" s="11">
        <f>Pending_2_Weeks[[#This Row],[WA | Seattle]]/Listings_New[[#This Row],[WA | Seattle]]</f>
        <v>0.45756457564575648</v>
      </c>
    </row>
    <row r="42" spans="1:21" x14ac:dyDescent="0.25">
      <c r="A42" s="5">
        <v>41395</v>
      </c>
      <c r="B42" s="10">
        <f>Pending_2_Weeks[[#This Row],[National]]/Listings_New[[#This Row],[National]]</f>
        <v>0.33100868725868726</v>
      </c>
      <c r="C42" s="11">
        <f>Pending_2_Weeks[[#This Row],[AZ | Phoenix]]/Listings_New[[#This Row],[AZ | Phoenix]]</f>
        <v>0.36096398305084748</v>
      </c>
      <c r="D42" s="11">
        <f>Pending_2_Weeks[[#This Row],[CA | Inland Empire]]/Listings_New[[#This Row],[CA | Inland Empire]]</f>
        <v>0.48326911377002635</v>
      </c>
      <c r="E42" s="11">
        <f>Pending_2_Weeks[[#This Row],[CA | Los Angeles]]/Listings_New[[#This Row],[CA | Los Angeles]]</f>
        <v>0.47702434177844016</v>
      </c>
      <c r="F42" s="11">
        <f>Pending_2_Weeks[[#This Row],[CA | Sacramento]]/Listings_New[[#This Row],[CA | Sacramento]]</f>
        <v>0.24</v>
      </c>
      <c r="G42" s="11">
        <f>Pending_2_Weeks[[#This Row],[CA | San Diego]]/Listings_New[[#This Row],[CA | San Diego]]</f>
        <v>0.49515905947441219</v>
      </c>
      <c r="H42" s="11">
        <f>Pending_2_Weeks[[#This Row],[CA | San Francisco]]/Listings_New[[#This Row],[CA | San Francisco]]</f>
        <v>0.53783403656821382</v>
      </c>
      <c r="I42" s="11">
        <f>Pending_2_Weeks[[#This Row],[CA | San Jose]]/Listings_New[[#This Row],[CA | San Jose]]</f>
        <v>0.57395143487858724</v>
      </c>
      <c r="J42" s="11">
        <f>Pending_2_Weeks[[#This Row],[CA | Ventura]]/Listings_New[[#This Row],[CA | Ventura]]</f>
        <v>0.48738170347003157</v>
      </c>
      <c r="K42" s="11">
        <f>Pending_2_Weeks[[#This Row],[CO | Denver]]/Listings_New[[#This Row],[CO | Denver]]</f>
        <v>0.49755415793151642</v>
      </c>
      <c r="L42" s="11">
        <f>Pending_2_Weeks[[#This Row],[DC | Washington]]/Listings_New[[#This Row],[DC | Washington]]</f>
        <v>0.40370874447090849</v>
      </c>
      <c r="M42" s="11">
        <f>Pending_2_Weeks[[#This Row],[IL | Chicago]]/Listings_New[[#This Row],[IL | Chicago]]</f>
        <v>0.13775234805138725</v>
      </c>
      <c r="N42" s="11">
        <f>Pending_2_Weeks[[#This Row],[MA | Boston]]/Listings_New[[#This Row],[MA | Boston]]</f>
        <v>3.6030061892130857E-2</v>
      </c>
      <c r="O42" s="11">
        <f>Pending_2_Weeks[[#This Row],[MD | Baltimore]]/Listings_New[[#This Row],[MD | Baltimore]]</f>
        <v>0.29396126091910368</v>
      </c>
      <c r="P42" s="11">
        <f>Pending_2_Weeks[[#This Row],[NV | Las Vegas]]/Listings_New[[#This Row],[NV | Las Vegas]]</f>
        <v>0.12347877708518848</v>
      </c>
      <c r="Q42" s="11">
        <f>Pending_2_Weeks[[#This Row],[NY | Long Island]]/Listings_New[[#This Row],[NY | Long Island]]</f>
        <v>6.2925520940788113E-2</v>
      </c>
      <c r="R42" s="11">
        <f>Pending_2_Weeks[[#This Row],[OR | Portland]]/Listings_New[[#This Row],[OR | Portland]]</f>
        <v>0.40279361459521096</v>
      </c>
      <c r="S42" s="11">
        <f>Pending_2_Weeks[[#This Row],[PA | Philadelphia]]/Listings_New[[#This Row],[PA | Philadelphia]]</f>
        <v>9.4575045207956607E-2</v>
      </c>
      <c r="T42" s="11">
        <f>Pending_2_Weeks[[#This Row],[TX | Austin]]/Listings_New[[#This Row],[TX | Austin]]</f>
        <v>0.43439204363169714</v>
      </c>
      <c r="U42" s="11">
        <f>Pending_2_Weeks[[#This Row],[WA | Seattle]]/Listings_New[[#This Row],[WA | Seattle]]</f>
        <v>0.47818823092630408</v>
      </c>
    </row>
    <row r="43" spans="1:21" x14ac:dyDescent="0.25">
      <c r="A43" s="10" t="s">
        <v>21</v>
      </c>
      <c r="B43" s="10">
        <f>B42-B30</f>
        <v>4.6767778112883351E-2</v>
      </c>
      <c r="C43" s="16">
        <f t="shared" ref="C43:U43" si="0">C42-C30</f>
        <v>-1.9163849604585392E-2</v>
      </c>
      <c r="D43" s="16">
        <f t="shared" si="0"/>
        <v>0.12378565937131769</v>
      </c>
      <c r="E43" s="16">
        <f t="shared" si="0"/>
        <v>0.12580382473240043</v>
      </c>
      <c r="F43" s="16">
        <f t="shared" si="0"/>
        <v>0.14931989924433248</v>
      </c>
      <c r="G43" s="16">
        <f t="shared" si="0"/>
        <v>0.11891507873604945</v>
      </c>
      <c r="H43" s="16">
        <f t="shared" si="0"/>
        <v>7.2653618273568921E-2</v>
      </c>
      <c r="I43" s="16">
        <f t="shared" si="0"/>
        <v>6.2179439835216788E-2</v>
      </c>
      <c r="J43" s="16">
        <f t="shared" si="0"/>
        <v>0.10824059917555306</v>
      </c>
      <c r="K43" s="16">
        <f t="shared" si="0"/>
        <v>0.17812401718314702</v>
      </c>
      <c r="L43" s="16">
        <f t="shared" si="0"/>
        <v>8.4291098443895707E-2</v>
      </c>
      <c r="M43" s="16">
        <f t="shared" si="0"/>
        <v>6.9785620269103565E-3</v>
      </c>
      <c r="N43" s="16">
        <f t="shared" si="0"/>
        <v>-2.4326285546621924E-2</v>
      </c>
      <c r="O43" s="16">
        <f t="shared" si="0"/>
        <v>0.1011011870577988</v>
      </c>
      <c r="P43" s="16">
        <f t="shared" si="0"/>
        <v>3.6877469895645998E-2</v>
      </c>
      <c r="Q43" s="16">
        <f t="shared" si="0"/>
        <v>3.5809682392823547E-3</v>
      </c>
      <c r="R43" s="16">
        <f t="shared" si="0"/>
        <v>0.10267939414975125</v>
      </c>
      <c r="S43" s="16">
        <f t="shared" si="0"/>
        <v>9.4575045207956607E-2</v>
      </c>
      <c r="T43" s="16">
        <f t="shared" si="0"/>
        <v>0.14445834863471102</v>
      </c>
      <c r="U43" s="16">
        <f t="shared" si="0"/>
        <v>0.12041326253186668</v>
      </c>
    </row>
    <row r="44" spans="1:21" x14ac:dyDescent="0.25">
      <c r="A44" s="10" t="s">
        <v>22</v>
      </c>
      <c r="B44" s="10">
        <f>B42-B41</f>
        <v>-9.9207092957552812E-3</v>
      </c>
      <c r="C44" s="16">
        <f t="shared" ref="C44:U44" si="1">C42-C41</f>
        <v>-5.45989308564373E-2</v>
      </c>
      <c r="D44" s="16">
        <f t="shared" si="1"/>
        <v>2.2954398224461769E-2</v>
      </c>
      <c r="E44" s="16">
        <f t="shared" si="1"/>
        <v>-8.4594744154231627E-4</v>
      </c>
      <c r="F44" s="16">
        <f t="shared" si="1"/>
        <v>0.12</v>
      </c>
      <c r="G44" s="16">
        <f t="shared" si="1"/>
        <v>4.2268609139056057E-2</v>
      </c>
      <c r="H44" s="16">
        <f t="shared" si="1"/>
        <v>-1.8039206224257032E-2</v>
      </c>
      <c r="I44" s="16">
        <f t="shared" si="1"/>
        <v>-4.0596491701970217E-2</v>
      </c>
      <c r="J44" s="16">
        <f t="shared" si="1"/>
        <v>7.8785978799694734E-3</v>
      </c>
      <c r="K44" s="16">
        <f t="shared" si="1"/>
        <v>3.2943440034650884E-2</v>
      </c>
      <c r="L44" s="16">
        <f t="shared" si="1"/>
        <v>-3.1187847431217941E-2</v>
      </c>
      <c r="M44" s="16">
        <f t="shared" si="1"/>
        <v>-6.7364308105715698E-2</v>
      </c>
      <c r="N44" s="16">
        <f t="shared" si="1"/>
        <v>-5.774381129350703E-2</v>
      </c>
      <c r="O44" s="16">
        <f t="shared" si="1"/>
        <v>-1.3527141996734604E-2</v>
      </c>
      <c r="P44" s="16">
        <f t="shared" si="1"/>
        <v>4.5779039470272009E-3</v>
      </c>
      <c r="Q44" s="16">
        <f t="shared" si="1"/>
        <v>-7.7076849757816007E-3</v>
      </c>
      <c r="R44" s="16">
        <f t="shared" si="1"/>
        <v>-1.4908029379268051E-4</v>
      </c>
      <c r="S44" s="16">
        <f t="shared" si="1"/>
        <v>-1.0397330482651124E-2</v>
      </c>
      <c r="T44" s="16">
        <f t="shared" si="1"/>
        <v>-1.2541918632453797E-2</v>
      </c>
      <c r="U44" s="16">
        <f t="shared" si="1"/>
        <v>2.0623655280547604E-2</v>
      </c>
    </row>
  </sheetData>
  <conditionalFormatting sqref="B43:U44">
    <cfRule type="expression" dxfId="5" priority="1">
      <formula>B43&lt;=-0.0005</formula>
    </cfRule>
    <cfRule type="expression" dxfId="4" priority="2">
      <formula>B43&gt;=0.0005</formula>
    </cfRule>
    <cfRule type="expression" dxfId="3" priority="3">
      <formula>B43&lt;0.0005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pane xSplit="1" ySplit="1" topLeftCell="B14" activePane="bottomRight" state="frozenSplit"/>
      <selection pane="topRight" activeCell="B1" sqref="B1"/>
      <selection pane="bottomLeft" activeCell="A2" sqref="A2"/>
      <selection pane="bottomRight" activeCell="B42" sqref="B42"/>
    </sheetView>
  </sheetViews>
  <sheetFormatPr defaultRowHeight="15" x14ac:dyDescent="0.25"/>
  <cols>
    <col min="1" max="1" width="7.5703125" style="9" bestFit="1" customWidth="1"/>
    <col min="2" max="2" width="9.140625" style="6" bestFit="1" customWidth="1"/>
    <col min="3" max="3" width="12.42578125" style="7" bestFit="1" customWidth="1"/>
    <col min="4" max="4" width="17.85546875" style="7" bestFit="1" customWidth="1"/>
    <col min="5" max="6" width="15.85546875" style="7" bestFit="1" customWidth="1"/>
    <col min="7" max="7" width="14.140625" style="7" bestFit="1" customWidth="1"/>
    <col min="8" max="8" width="17.28515625" style="7" bestFit="1" customWidth="1"/>
    <col min="9" max="9" width="12.7109375" style="7" bestFit="1" customWidth="1"/>
    <col min="10" max="10" width="12.42578125" style="7" bestFit="1" customWidth="1"/>
    <col min="11" max="11" width="11.85546875" style="7" bestFit="1" customWidth="1"/>
    <col min="12" max="12" width="16.140625" style="7" bestFit="1" customWidth="1"/>
    <col min="13" max="13" width="11.140625" style="7" bestFit="1" customWidth="1"/>
    <col min="14" max="14" width="12.140625" style="7" bestFit="1" customWidth="1"/>
    <col min="15" max="15" width="14.85546875" style="7" bestFit="1" customWidth="1"/>
    <col min="16" max="16" width="14.140625" style="7" bestFit="1" customWidth="1"/>
    <col min="17" max="17" width="15.42578125" style="7" bestFit="1" customWidth="1"/>
    <col min="18" max="18" width="13.140625" style="7" bestFit="1" customWidth="1"/>
    <col min="19" max="19" width="16.5703125" style="7" bestFit="1" customWidth="1"/>
    <col min="20" max="20" width="10.7109375" style="7" bestFit="1" customWidth="1"/>
    <col min="21" max="21" width="12.42578125" style="7" bestFit="1" customWidth="1"/>
    <col min="22" max="22" width="10.28515625" style="7" bestFit="1" customWidth="1"/>
    <col min="23" max="23" width="12.42578125" style="7" bestFit="1" customWidth="1"/>
    <col min="24" max="24" width="7" style="8" bestFit="1" customWidth="1"/>
    <col min="25" max="16384" width="9.140625" style="8"/>
  </cols>
  <sheetData>
    <row r="1" spans="1:23" s="4" customFormat="1" x14ac:dyDescent="0.25">
      <c r="A1" s="1" t="s">
        <v>0</v>
      </c>
      <c r="B1" s="2" t="s">
        <v>1</v>
      </c>
      <c r="C1" s="3" t="s">
        <v>8</v>
      </c>
      <c r="D1" s="3" t="s">
        <v>7</v>
      </c>
      <c r="E1" s="3" t="s">
        <v>2</v>
      </c>
      <c r="F1" s="3" t="s">
        <v>15</v>
      </c>
      <c r="G1" s="3" t="s">
        <v>11</v>
      </c>
      <c r="H1" s="3" t="s">
        <v>6</v>
      </c>
      <c r="I1" s="3" t="s">
        <v>18</v>
      </c>
      <c r="J1" s="3" t="s">
        <v>20</v>
      </c>
      <c r="K1" s="3" t="s">
        <v>14</v>
      </c>
      <c r="L1" s="3" t="s">
        <v>4</v>
      </c>
      <c r="M1" s="3" t="s">
        <v>3</v>
      </c>
      <c r="N1" s="3" t="s">
        <v>9</v>
      </c>
      <c r="O1" s="3" t="s">
        <v>13</v>
      </c>
      <c r="P1" s="3" t="s">
        <v>17</v>
      </c>
      <c r="Q1" s="3" t="s">
        <v>12</v>
      </c>
      <c r="R1" s="3" t="s">
        <v>16</v>
      </c>
      <c r="S1" s="3" t="s">
        <v>5</v>
      </c>
      <c r="T1" s="3" t="s">
        <v>19</v>
      </c>
      <c r="U1" s="3" t="s">
        <v>10</v>
      </c>
    </row>
    <row r="2" spans="1:23" x14ac:dyDescent="0.25">
      <c r="A2" s="5">
        <v>40179</v>
      </c>
      <c r="B2" s="6">
        <f>SUM(Pending_2_Weeks[[#This Row],[AZ | Phoenix]:[WA | Seattle]])</f>
        <v>18838</v>
      </c>
      <c r="C2" s="7">
        <v>2352</v>
      </c>
      <c r="D2" s="7">
        <v>2598</v>
      </c>
      <c r="E2" s="7">
        <v>2346</v>
      </c>
      <c r="F2" s="7">
        <v>102</v>
      </c>
      <c r="G2" s="7">
        <v>778</v>
      </c>
      <c r="H2" s="7">
        <v>1347</v>
      </c>
      <c r="I2" s="7">
        <v>559</v>
      </c>
      <c r="J2" s="7">
        <v>149</v>
      </c>
      <c r="K2" s="7">
        <v>157</v>
      </c>
      <c r="L2" s="7">
        <v>2339</v>
      </c>
      <c r="M2" s="7">
        <v>2506</v>
      </c>
      <c r="N2" s="7">
        <v>515</v>
      </c>
      <c r="O2" s="7">
        <v>542</v>
      </c>
      <c r="P2" s="7">
        <v>100</v>
      </c>
      <c r="Q2" s="7">
        <v>216</v>
      </c>
      <c r="R2" s="7">
        <v>516</v>
      </c>
      <c r="U2" s="7">
        <v>1716</v>
      </c>
      <c r="V2" s="8"/>
      <c r="W2" s="8"/>
    </row>
    <row r="3" spans="1:23" x14ac:dyDescent="0.25">
      <c r="A3" s="5">
        <v>40210</v>
      </c>
      <c r="B3" s="6">
        <f>SUM(Pending_2_Weeks[[#This Row],[AZ | Phoenix]:[WA | Seattle]])</f>
        <v>16265</v>
      </c>
      <c r="C3" s="7">
        <v>2500</v>
      </c>
      <c r="D3" s="7">
        <v>2272</v>
      </c>
      <c r="E3" s="7">
        <v>2303</v>
      </c>
      <c r="F3" s="7">
        <v>68</v>
      </c>
      <c r="G3" s="7">
        <v>733</v>
      </c>
      <c r="H3" s="7">
        <v>1455</v>
      </c>
      <c r="I3" s="7">
        <v>603</v>
      </c>
      <c r="J3" s="7">
        <v>122</v>
      </c>
      <c r="K3" s="7">
        <v>194</v>
      </c>
      <c r="L3" s="7">
        <v>1426</v>
      </c>
      <c r="M3" s="7">
        <v>1411</v>
      </c>
      <c r="N3" s="7">
        <v>489</v>
      </c>
      <c r="O3" s="7">
        <v>279</v>
      </c>
      <c r="P3" s="7">
        <v>104</v>
      </c>
      <c r="Q3" s="7">
        <v>180</v>
      </c>
      <c r="R3" s="7">
        <v>690</v>
      </c>
      <c r="U3" s="7">
        <v>1436</v>
      </c>
      <c r="V3" s="8"/>
      <c r="W3" s="8"/>
    </row>
    <row r="4" spans="1:23" x14ac:dyDescent="0.25">
      <c r="A4" s="5">
        <v>40238</v>
      </c>
      <c r="B4" s="6">
        <f>SUM(Pending_2_Weeks[[#This Row],[AZ | Phoenix]:[WA | Seattle]])</f>
        <v>25123</v>
      </c>
      <c r="C4" s="7">
        <v>3276</v>
      </c>
      <c r="D4" s="7">
        <v>3017</v>
      </c>
      <c r="E4" s="7">
        <v>3057</v>
      </c>
      <c r="F4" s="7">
        <v>85</v>
      </c>
      <c r="G4" s="7">
        <v>929</v>
      </c>
      <c r="H4" s="7">
        <v>1843</v>
      </c>
      <c r="I4" s="7">
        <v>836</v>
      </c>
      <c r="J4" s="7">
        <v>190</v>
      </c>
      <c r="K4" s="7">
        <v>211</v>
      </c>
      <c r="L4" s="7">
        <v>3912</v>
      </c>
      <c r="M4" s="7">
        <v>2370</v>
      </c>
      <c r="N4" s="7">
        <v>953</v>
      </c>
      <c r="O4" s="7">
        <v>791</v>
      </c>
      <c r="P4" s="7">
        <v>114</v>
      </c>
      <c r="Q4" s="7">
        <v>336</v>
      </c>
      <c r="R4" s="7">
        <v>1122</v>
      </c>
      <c r="U4" s="7">
        <v>2081</v>
      </c>
      <c r="V4" s="8"/>
      <c r="W4" s="8"/>
    </row>
    <row r="5" spans="1:23" x14ac:dyDescent="0.25">
      <c r="A5" s="5">
        <v>40269</v>
      </c>
      <c r="B5" s="6">
        <f>SUM(Pending_2_Weeks[[#This Row],[AZ | Phoenix]:[WA | Seattle]])</f>
        <v>21431</v>
      </c>
      <c r="C5" s="7">
        <v>3207</v>
      </c>
      <c r="D5" s="7">
        <v>2301</v>
      </c>
      <c r="E5" s="7">
        <v>2755</v>
      </c>
      <c r="F5" s="7">
        <v>38</v>
      </c>
      <c r="G5" s="7">
        <v>857</v>
      </c>
      <c r="H5" s="7">
        <v>1833</v>
      </c>
      <c r="I5" s="7">
        <v>780</v>
      </c>
      <c r="J5" s="7">
        <v>166</v>
      </c>
      <c r="K5" s="7">
        <v>304</v>
      </c>
      <c r="L5" s="7">
        <v>2933</v>
      </c>
      <c r="M5" s="7">
        <v>1964</v>
      </c>
      <c r="N5" s="7">
        <v>692</v>
      </c>
      <c r="O5" s="7">
        <v>713</v>
      </c>
      <c r="P5" s="7">
        <v>138</v>
      </c>
      <c r="Q5" s="7">
        <v>404</v>
      </c>
      <c r="R5" s="7">
        <v>931</v>
      </c>
      <c r="U5" s="7">
        <v>1415</v>
      </c>
      <c r="V5" s="8"/>
      <c r="W5" s="8"/>
    </row>
    <row r="6" spans="1:23" x14ac:dyDescent="0.25">
      <c r="A6" s="5">
        <v>40299</v>
      </c>
      <c r="B6" s="6">
        <f>SUM(Pending_2_Weeks[[#This Row],[AZ | Phoenix]:[WA | Seattle]])</f>
        <v>14049</v>
      </c>
      <c r="C6" s="7">
        <v>2017</v>
      </c>
      <c r="D6" s="7">
        <v>1737</v>
      </c>
      <c r="E6" s="7">
        <v>2061</v>
      </c>
      <c r="F6" s="7">
        <v>30</v>
      </c>
      <c r="G6" s="7">
        <v>582</v>
      </c>
      <c r="H6" s="7">
        <v>1330</v>
      </c>
      <c r="I6" s="7">
        <v>517</v>
      </c>
      <c r="J6" s="7">
        <v>110</v>
      </c>
      <c r="K6" s="7">
        <v>130</v>
      </c>
      <c r="L6" s="7">
        <v>1974</v>
      </c>
      <c r="M6" s="7">
        <v>1158</v>
      </c>
      <c r="N6" s="7">
        <v>426</v>
      </c>
      <c r="O6" s="7">
        <v>385</v>
      </c>
      <c r="P6" s="7">
        <v>110</v>
      </c>
      <c r="Q6" s="7">
        <v>229</v>
      </c>
      <c r="R6" s="7">
        <v>449</v>
      </c>
      <c r="U6" s="7">
        <v>804</v>
      </c>
      <c r="V6" s="8"/>
      <c r="W6" s="8"/>
    </row>
    <row r="7" spans="1:23" x14ac:dyDescent="0.25">
      <c r="A7" s="5">
        <v>40330</v>
      </c>
      <c r="B7" s="6">
        <f>SUM(Pending_2_Weeks[[#This Row],[AZ | Phoenix]:[WA | Seattle]])</f>
        <v>13844</v>
      </c>
      <c r="C7" s="7">
        <v>1872</v>
      </c>
      <c r="D7" s="7">
        <v>1657</v>
      </c>
      <c r="E7" s="7">
        <v>1951</v>
      </c>
      <c r="F7" s="7">
        <v>12</v>
      </c>
      <c r="G7" s="7">
        <v>623</v>
      </c>
      <c r="H7" s="7">
        <v>1258</v>
      </c>
      <c r="I7" s="7">
        <v>557</v>
      </c>
      <c r="J7" s="7">
        <v>102</v>
      </c>
      <c r="K7" s="7">
        <v>176</v>
      </c>
      <c r="L7" s="7">
        <v>2030</v>
      </c>
      <c r="M7" s="7">
        <v>1183</v>
      </c>
      <c r="N7" s="7">
        <v>450</v>
      </c>
      <c r="O7" s="7">
        <v>441</v>
      </c>
      <c r="P7" s="7">
        <v>128</v>
      </c>
      <c r="Q7" s="7">
        <v>217</v>
      </c>
      <c r="R7" s="7">
        <v>468</v>
      </c>
      <c r="U7" s="7">
        <v>719</v>
      </c>
      <c r="V7" s="8"/>
      <c r="W7" s="8"/>
    </row>
    <row r="8" spans="1:23" x14ac:dyDescent="0.25">
      <c r="A8" s="5">
        <v>40360</v>
      </c>
      <c r="B8" s="6">
        <f>SUM(Pending_2_Weeks[[#This Row],[AZ | Phoenix]:[WA | Seattle]])</f>
        <v>13200</v>
      </c>
      <c r="C8" s="7">
        <v>1848</v>
      </c>
      <c r="D8" s="7">
        <v>1516</v>
      </c>
      <c r="E8" s="7">
        <v>1963</v>
      </c>
      <c r="F8" s="7">
        <v>12</v>
      </c>
      <c r="G8" s="7">
        <v>564</v>
      </c>
      <c r="H8" s="7">
        <v>1219</v>
      </c>
      <c r="I8" s="7">
        <v>466</v>
      </c>
      <c r="J8" s="7">
        <v>113</v>
      </c>
      <c r="K8" s="7">
        <v>186</v>
      </c>
      <c r="L8" s="7">
        <v>1823</v>
      </c>
      <c r="M8" s="7">
        <v>1162</v>
      </c>
      <c r="N8" s="7">
        <v>338</v>
      </c>
      <c r="O8" s="7">
        <v>410</v>
      </c>
      <c r="P8" s="7">
        <v>144</v>
      </c>
      <c r="Q8" s="7">
        <v>218</v>
      </c>
      <c r="R8" s="7">
        <v>444</v>
      </c>
      <c r="U8" s="7">
        <v>774</v>
      </c>
      <c r="V8" s="8"/>
      <c r="W8" s="8"/>
    </row>
    <row r="9" spans="1:23" x14ac:dyDescent="0.25">
      <c r="A9" s="5">
        <v>40391</v>
      </c>
      <c r="B9" s="6">
        <f>SUM(Pending_2_Weeks[[#This Row],[AZ | Phoenix]:[WA | Seattle]])</f>
        <v>12118</v>
      </c>
      <c r="C9" s="7">
        <v>1918</v>
      </c>
      <c r="D9" s="7">
        <v>1490</v>
      </c>
      <c r="E9" s="7">
        <v>1769</v>
      </c>
      <c r="F9" s="7">
        <v>15</v>
      </c>
      <c r="G9" s="7">
        <v>513</v>
      </c>
      <c r="H9" s="7">
        <v>1070</v>
      </c>
      <c r="I9" s="7">
        <v>389</v>
      </c>
      <c r="J9" s="7">
        <v>103</v>
      </c>
      <c r="K9" s="7">
        <v>187</v>
      </c>
      <c r="L9" s="7">
        <v>1488</v>
      </c>
      <c r="M9" s="7">
        <v>1041</v>
      </c>
      <c r="N9" s="7">
        <v>305</v>
      </c>
      <c r="O9" s="7">
        <v>345</v>
      </c>
      <c r="P9" s="7">
        <v>155</v>
      </c>
      <c r="Q9" s="7">
        <v>169</v>
      </c>
      <c r="R9" s="7">
        <v>448</v>
      </c>
      <c r="U9" s="7">
        <v>713</v>
      </c>
      <c r="V9" s="8"/>
      <c r="W9" s="8"/>
    </row>
    <row r="10" spans="1:23" x14ac:dyDescent="0.25">
      <c r="A10" s="5">
        <v>40422</v>
      </c>
      <c r="B10" s="6">
        <f>SUM(Pending_2_Weeks[[#This Row],[AZ | Phoenix]:[WA | Seattle]])</f>
        <v>11897</v>
      </c>
      <c r="C10" s="7">
        <v>1832</v>
      </c>
      <c r="D10" s="7">
        <v>1357</v>
      </c>
      <c r="E10" s="7">
        <v>1666</v>
      </c>
      <c r="F10" s="7">
        <v>14</v>
      </c>
      <c r="G10" s="7">
        <v>521</v>
      </c>
      <c r="H10" s="7">
        <v>1040</v>
      </c>
      <c r="I10" s="7">
        <v>391</v>
      </c>
      <c r="J10" s="7">
        <v>63</v>
      </c>
      <c r="K10" s="7">
        <v>184</v>
      </c>
      <c r="L10" s="7">
        <v>1413</v>
      </c>
      <c r="M10" s="7">
        <v>1038</v>
      </c>
      <c r="N10" s="7">
        <v>331</v>
      </c>
      <c r="O10" s="7">
        <v>333</v>
      </c>
      <c r="P10" s="7">
        <v>234</v>
      </c>
      <c r="Q10" s="7">
        <v>152</v>
      </c>
      <c r="R10" s="7">
        <v>424</v>
      </c>
      <c r="T10" s="7">
        <v>168</v>
      </c>
      <c r="U10" s="7">
        <v>736</v>
      </c>
      <c r="V10" s="8"/>
      <c r="W10" s="8"/>
    </row>
    <row r="11" spans="1:23" x14ac:dyDescent="0.25">
      <c r="A11" s="5">
        <v>40452</v>
      </c>
      <c r="B11" s="6">
        <f>SUM(Pending_2_Weeks[[#This Row],[AZ | Phoenix]:[WA | Seattle]])</f>
        <v>11368</v>
      </c>
      <c r="C11" s="7">
        <v>1748</v>
      </c>
      <c r="D11" s="7">
        <v>1268</v>
      </c>
      <c r="E11" s="7">
        <v>1625</v>
      </c>
      <c r="F11" s="7">
        <v>33</v>
      </c>
      <c r="G11" s="7">
        <v>490</v>
      </c>
      <c r="H11" s="7">
        <v>856</v>
      </c>
      <c r="I11" s="7">
        <v>361</v>
      </c>
      <c r="J11" s="7">
        <v>64</v>
      </c>
      <c r="K11" s="7">
        <v>166</v>
      </c>
      <c r="L11" s="7">
        <v>1304</v>
      </c>
      <c r="M11" s="7">
        <v>936</v>
      </c>
      <c r="N11" s="7">
        <v>286</v>
      </c>
      <c r="O11" s="7">
        <v>291</v>
      </c>
      <c r="P11" s="7">
        <v>418</v>
      </c>
      <c r="Q11" s="7">
        <v>176</v>
      </c>
      <c r="R11" s="7">
        <v>366</v>
      </c>
      <c r="T11" s="7">
        <v>232</v>
      </c>
      <c r="U11" s="7">
        <v>748</v>
      </c>
      <c r="V11" s="8"/>
      <c r="W11" s="8"/>
    </row>
    <row r="12" spans="1:23" x14ac:dyDescent="0.25">
      <c r="A12" s="5">
        <v>40483</v>
      </c>
      <c r="B12" s="6">
        <f>SUM(Pending_2_Weeks[[#This Row],[AZ | Phoenix]:[WA | Seattle]])</f>
        <v>9208</v>
      </c>
      <c r="C12" s="7">
        <v>1598</v>
      </c>
      <c r="D12" s="7">
        <v>1126</v>
      </c>
      <c r="E12" s="7">
        <v>1347</v>
      </c>
      <c r="F12" s="7">
        <v>7</v>
      </c>
      <c r="G12" s="7">
        <v>412</v>
      </c>
      <c r="H12" s="7">
        <v>704</v>
      </c>
      <c r="I12" s="7">
        <v>282</v>
      </c>
      <c r="J12" s="7">
        <v>69</v>
      </c>
      <c r="K12" s="7">
        <v>123</v>
      </c>
      <c r="L12" s="7">
        <v>1013</v>
      </c>
      <c r="M12" s="7">
        <v>715</v>
      </c>
      <c r="N12" s="7">
        <v>220</v>
      </c>
      <c r="O12" s="7">
        <v>241</v>
      </c>
      <c r="P12" s="7">
        <v>252</v>
      </c>
      <c r="Q12" s="7">
        <v>143</v>
      </c>
      <c r="R12" s="7">
        <v>259</v>
      </c>
      <c r="T12" s="7">
        <v>183</v>
      </c>
      <c r="U12" s="7">
        <v>514</v>
      </c>
      <c r="V12" s="8"/>
      <c r="W12" s="8"/>
    </row>
    <row r="13" spans="1:23" x14ac:dyDescent="0.25">
      <c r="A13" s="5">
        <v>40513</v>
      </c>
      <c r="B13" s="6">
        <f>SUM(Pending_2_Weeks[[#This Row],[AZ | Phoenix]:[WA | Seattle]])</f>
        <v>7832</v>
      </c>
      <c r="C13" s="7">
        <v>1499</v>
      </c>
      <c r="D13" s="7">
        <v>882</v>
      </c>
      <c r="E13" s="7">
        <v>1121</v>
      </c>
      <c r="F13" s="7">
        <v>26</v>
      </c>
      <c r="G13" s="7">
        <v>346</v>
      </c>
      <c r="H13" s="7">
        <v>599</v>
      </c>
      <c r="I13" s="7">
        <v>214</v>
      </c>
      <c r="J13" s="7">
        <v>57</v>
      </c>
      <c r="K13" s="7">
        <v>160</v>
      </c>
      <c r="L13" s="7">
        <v>826</v>
      </c>
      <c r="M13" s="7">
        <v>577</v>
      </c>
      <c r="N13" s="7">
        <v>151</v>
      </c>
      <c r="O13" s="7">
        <v>173</v>
      </c>
      <c r="P13" s="7">
        <v>290</v>
      </c>
      <c r="Q13" s="7">
        <v>106</v>
      </c>
      <c r="R13" s="7">
        <v>212</v>
      </c>
      <c r="T13" s="7">
        <v>169</v>
      </c>
      <c r="U13" s="7">
        <v>424</v>
      </c>
      <c r="V13" s="8"/>
      <c r="W13" s="8"/>
    </row>
    <row r="14" spans="1:23" x14ac:dyDescent="0.25">
      <c r="A14" s="5">
        <v>40544</v>
      </c>
      <c r="B14" s="6">
        <f>SUM(Pending_2_Weeks[[#This Row],[AZ | Phoenix]:[WA | Seattle]])</f>
        <v>12710</v>
      </c>
      <c r="C14" s="7">
        <v>2431</v>
      </c>
      <c r="D14" s="7">
        <v>1276</v>
      </c>
      <c r="E14" s="7">
        <v>1949</v>
      </c>
      <c r="F14" s="7">
        <v>15</v>
      </c>
      <c r="G14" s="7">
        <v>584</v>
      </c>
      <c r="H14" s="7">
        <v>1015</v>
      </c>
      <c r="I14" s="7">
        <v>431</v>
      </c>
      <c r="J14" s="7">
        <v>94</v>
      </c>
      <c r="K14" s="7">
        <v>450</v>
      </c>
      <c r="L14" s="7">
        <v>1251</v>
      </c>
      <c r="M14" s="7">
        <v>842</v>
      </c>
      <c r="N14" s="7">
        <v>218</v>
      </c>
      <c r="O14" s="7">
        <v>286</v>
      </c>
      <c r="P14" s="7">
        <v>340</v>
      </c>
      <c r="Q14" s="7">
        <v>156</v>
      </c>
      <c r="R14" s="7">
        <v>340</v>
      </c>
      <c r="T14" s="7">
        <v>297</v>
      </c>
      <c r="U14" s="7">
        <v>735</v>
      </c>
      <c r="V14" s="8"/>
      <c r="W14" s="8"/>
    </row>
    <row r="15" spans="1:23" x14ac:dyDescent="0.25">
      <c r="A15" s="5">
        <v>40575</v>
      </c>
      <c r="B15" s="6">
        <f>SUM(Pending_2_Weeks[[#This Row],[AZ | Phoenix]:[WA | Seattle]])</f>
        <v>14694</v>
      </c>
      <c r="C15" s="7">
        <v>2938</v>
      </c>
      <c r="D15" s="7">
        <v>1446</v>
      </c>
      <c r="E15" s="7">
        <v>2029</v>
      </c>
      <c r="F15" s="7">
        <v>183</v>
      </c>
      <c r="G15" s="7">
        <v>612</v>
      </c>
      <c r="H15" s="7">
        <v>1234</v>
      </c>
      <c r="I15" s="7">
        <v>497</v>
      </c>
      <c r="J15" s="7">
        <v>88</v>
      </c>
      <c r="K15" s="7">
        <v>500</v>
      </c>
      <c r="L15" s="7">
        <v>1385</v>
      </c>
      <c r="M15" s="7">
        <v>846</v>
      </c>
      <c r="N15" s="7">
        <v>229</v>
      </c>
      <c r="O15" s="7">
        <v>300</v>
      </c>
      <c r="P15" s="7">
        <v>578</v>
      </c>
      <c r="Q15" s="7">
        <v>148</v>
      </c>
      <c r="R15" s="7">
        <v>410</v>
      </c>
      <c r="T15" s="7">
        <v>337</v>
      </c>
      <c r="U15" s="7">
        <v>934</v>
      </c>
      <c r="V15" s="8"/>
      <c r="W15" s="8"/>
    </row>
    <row r="16" spans="1:23" x14ac:dyDescent="0.25">
      <c r="A16" s="5">
        <v>40603</v>
      </c>
      <c r="B16" s="6">
        <f>SUM(Pending_2_Weeks[[#This Row],[AZ | Phoenix]:[WA | Seattle]])</f>
        <v>17674</v>
      </c>
      <c r="C16" s="7">
        <v>2850</v>
      </c>
      <c r="D16" s="7">
        <v>1622</v>
      </c>
      <c r="E16" s="7">
        <v>2375</v>
      </c>
      <c r="F16" s="7">
        <v>44</v>
      </c>
      <c r="G16" s="7">
        <v>736</v>
      </c>
      <c r="H16" s="7">
        <v>1322</v>
      </c>
      <c r="I16" s="7">
        <v>592</v>
      </c>
      <c r="J16" s="7">
        <v>108</v>
      </c>
      <c r="K16" s="7">
        <v>829</v>
      </c>
      <c r="L16" s="7">
        <v>2091</v>
      </c>
      <c r="M16" s="7">
        <v>1345</v>
      </c>
      <c r="N16" s="7">
        <v>497</v>
      </c>
      <c r="O16" s="7">
        <v>537</v>
      </c>
      <c r="P16" s="7">
        <v>411</v>
      </c>
      <c r="Q16" s="7">
        <v>249</v>
      </c>
      <c r="R16" s="7">
        <v>501</v>
      </c>
      <c r="T16" s="7">
        <v>505</v>
      </c>
      <c r="U16" s="7">
        <v>1060</v>
      </c>
      <c r="V16" s="8"/>
      <c r="W16" s="8"/>
    </row>
    <row r="17" spans="1:23" x14ac:dyDescent="0.25">
      <c r="A17" s="5">
        <v>40634</v>
      </c>
      <c r="B17" s="6">
        <f>SUM(Pending_2_Weeks[[#This Row],[AZ | Phoenix]:[WA | Seattle]])</f>
        <v>17075</v>
      </c>
      <c r="C17" s="7">
        <v>3068</v>
      </c>
      <c r="D17" s="7">
        <v>1517</v>
      </c>
      <c r="E17" s="7">
        <v>2155</v>
      </c>
      <c r="F17" s="7">
        <v>33</v>
      </c>
      <c r="G17" s="7">
        <v>669</v>
      </c>
      <c r="H17" s="7">
        <v>1359</v>
      </c>
      <c r="I17" s="7">
        <v>539</v>
      </c>
      <c r="J17" s="7">
        <v>89</v>
      </c>
      <c r="K17" s="7">
        <v>896</v>
      </c>
      <c r="L17" s="7">
        <v>1649</v>
      </c>
      <c r="M17" s="7">
        <v>1447</v>
      </c>
      <c r="N17" s="7">
        <v>465</v>
      </c>
      <c r="O17" s="7">
        <v>397</v>
      </c>
      <c r="P17" s="7">
        <v>385</v>
      </c>
      <c r="Q17" s="7">
        <v>143</v>
      </c>
      <c r="R17" s="7">
        <v>595</v>
      </c>
      <c r="T17" s="7">
        <v>540</v>
      </c>
      <c r="U17" s="7">
        <v>1129</v>
      </c>
      <c r="V17" s="8"/>
      <c r="W17" s="8"/>
    </row>
    <row r="18" spans="1:23" x14ac:dyDescent="0.25">
      <c r="A18" s="5">
        <v>40664</v>
      </c>
      <c r="B18" s="6">
        <f>SUM(Pending_2_Weeks[[#This Row],[AZ | Phoenix]:[WA | Seattle]])</f>
        <v>16844</v>
      </c>
      <c r="C18" s="7">
        <v>3029</v>
      </c>
      <c r="D18" s="7">
        <v>1458</v>
      </c>
      <c r="E18" s="7">
        <v>2050</v>
      </c>
      <c r="F18" s="7">
        <v>47</v>
      </c>
      <c r="G18" s="7">
        <v>705</v>
      </c>
      <c r="H18" s="7">
        <v>1345</v>
      </c>
      <c r="I18" s="7">
        <v>586</v>
      </c>
      <c r="J18" s="7">
        <v>96</v>
      </c>
      <c r="K18" s="7">
        <v>865</v>
      </c>
      <c r="L18" s="7">
        <v>1561</v>
      </c>
      <c r="M18" s="7">
        <v>1413</v>
      </c>
      <c r="N18" s="7">
        <v>405</v>
      </c>
      <c r="O18" s="7">
        <v>392</v>
      </c>
      <c r="P18" s="7">
        <v>397</v>
      </c>
      <c r="Q18" s="7">
        <v>221</v>
      </c>
      <c r="R18" s="7">
        <v>647</v>
      </c>
      <c r="T18" s="7">
        <v>548</v>
      </c>
      <c r="U18" s="7">
        <v>1079</v>
      </c>
      <c r="V18" s="8"/>
      <c r="W18" s="8"/>
    </row>
    <row r="19" spans="1:23" x14ac:dyDescent="0.25">
      <c r="A19" s="5">
        <v>40695</v>
      </c>
      <c r="B19" s="6">
        <f>SUM(Pending_2_Weeks[[#This Row],[AZ | Phoenix]:[WA | Seattle]])</f>
        <v>15759</v>
      </c>
      <c r="C19" s="7">
        <v>3018</v>
      </c>
      <c r="D19" s="7">
        <v>1404</v>
      </c>
      <c r="E19" s="7">
        <v>2027</v>
      </c>
      <c r="F19" s="7">
        <v>51</v>
      </c>
      <c r="G19" s="7">
        <v>675</v>
      </c>
      <c r="H19" s="7">
        <v>1236</v>
      </c>
      <c r="I19" s="7">
        <v>506</v>
      </c>
      <c r="J19" s="7">
        <v>98</v>
      </c>
      <c r="K19" s="7">
        <v>844</v>
      </c>
      <c r="L19" s="7">
        <v>1323</v>
      </c>
      <c r="M19" s="7">
        <v>1245</v>
      </c>
      <c r="N19" s="7">
        <v>390</v>
      </c>
      <c r="O19" s="7">
        <v>322</v>
      </c>
      <c r="P19" s="7">
        <v>309</v>
      </c>
      <c r="Q19" s="7">
        <v>170</v>
      </c>
      <c r="R19" s="7">
        <v>601</v>
      </c>
      <c r="T19" s="7">
        <v>491</v>
      </c>
      <c r="U19" s="7">
        <v>1049</v>
      </c>
      <c r="V19" s="8"/>
      <c r="W19" s="8"/>
    </row>
    <row r="20" spans="1:23" x14ac:dyDescent="0.25">
      <c r="A20" s="5">
        <v>40725</v>
      </c>
      <c r="B20" s="6">
        <f>SUM(Pending_2_Weeks[[#This Row],[AZ | Phoenix]:[WA | Seattle]])</f>
        <v>14697</v>
      </c>
      <c r="C20" s="7">
        <v>2820</v>
      </c>
      <c r="D20" s="7">
        <v>1387</v>
      </c>
      <c r="E20" s="7">
        <v>1951</v>
      </c>
      <c r="F20" s="7">
        <v>49</v>
      </c>
      <c r="G20" s="7">
        <v>592</v>
      </c>
      <c r="H20" s="7">
        <v>1252</v>
      </c>
      <c r="I20" s="7">
        <v>486</v>
      </c>
      <c r="J20" s="7">
        <v>86</v>
      </c>
      <c r="K20" s="7">
        <v>729</v>
      </c>
      <c r="L20" s="7">
        <v>1084</v>
      </c>
      <c r="M20" s="7">
        <v>1160</v>
      </c>
      <c r="N20" s="7">
        <v>307</v>
      </c>
      <c r="O20" s="7">
        <v>283</v>
      </c>
      <c r="P20" s="7">
        <v>303</v>
      </c>
      <c r="Q20" s="7">
        <v>148</v>
      </c>
      <c r="R20" s="7">
        <v>554</v>
      </c>
      <c r="T20" s="7">
        <v>459</v>
      </c>
      <c r="U20" s="7">
        <v>1047</v>
      </c>
      <c r="V20" s="8"/>
      <c r="W20" s="8"/>
    </row>
    <row r="21" spans="1:23" x14ac:dyDescent="0.25">
      <c r="A21" s="5">
        <v>40756</v>
      </c>
      <c r="B21" s="6">
        <f>SUM(Pending_2_Weeks[[#This Row],[AZ | Phoenix]:[WA | Seattle]])</f>
        <v>14502</v>
      </c>
      <c r="C21" s="7">
        <v>3112</v>
      </c>
      <c r="D21" s="7">
        <v>1389</v>
      </c>
      <c r="E21" s="7">
        <v>1920</v>
      </c>
      <c r="F21" s="7">
        <v>54</v>
      </c>
      <c r="G21" s="7">
        <v>610</v>
      </c>
      <c r="H21" s="7">
        <v>1151</v>
      </c>
      <c r="I21" s="7">
        <v>444</v>
      </c>
      <c r="J21" s="7">
        <v>100</v>
      </c>
      <c r="K21" s="7">
        <v>694</v>
      </c>
      <c r="L21" s="7">
        <v>916</v>
      </c>
      <c r="M21" s="7">
        <v>1146</v>
      </c>
      <c r="N21" s="7">
        <v>279</v>
      </c>
      <c r="O21" s="7">
        <v>243</v>
      </c>
      <c r="P21" s="7">
        <v>262</v>
      </c>
      <c r="Q21" s="7">
        <v>168</v>
      </c>
      <c r="R21" s="7">
        <v>617</v>
      </c>
      <c r="T21" s="7">
        <v>369</v>
      </c>
      <c r="U21" s="7">
        <v>1028</v>
      </c>
      <c r="V21" s="8"/>
      <c r="W21" s="8"/>
    </row>
    <row r="22" spans="1:23" x14ac:dyDescent="0.25">
      <c r="A22" s="5">
        <v>40787</v>
      </c>
      <c r="B22" s="6">
        <f>SUM(Pending_2_Weeks[[#This Row],[AZ | Phoenix]:[WA | Seattle]])</f>
        <v>13572</v>
      </c>
      <c r="C22" s="7">
        <v>2878</v>
      </c>
      <c r="D22" s="7">
        <v>1298</v>
      </c>
      <c r="E22" s="7">
        <v>1793</v>
      </c>
      <c r="F22" s="7">
        <v>40</v>
      </c>
      <c r="G22" s="7">
        <v>570</v>
      </c>
      <c r="H22" s="7">
        <v>1139</v>
      </c>
      <c r="I22" s="7">
        <v>414</v>
      </c>
      <c r="J22" s="7">
        <v>86</v>
      </c>
      <c r="K22" s="7">
        <v>635</v>
      </c>
      <c r="L22" s="7">
        <v>975</v>
      </c>
      <c r="M22" s="7">
        <v>1010</v>
      </c>
      <c r="N22" s="7">
        <v>329</v>
      </c>
      <c r="O22" s="7">
        <v>228</v>
      </c>
      <c r="P22" s="7">
        <v>255</v>
      </c>
      <c r="Q22" s="7">
        <v>151</v>
      </c>
      <c r="R22" s="7">
        <v>537</v>
      </c>
      <c r="T22" s="7">
        <v>333</v>
      </c>
      <c r="U22" s="7">
        <v>901</v>
      </c>
      <c r="V22" s="8"/>
      <c r="W22" s="8"/>
    </row>
    <row r="23" spans="1:23" x14ac:dyDescent="0.25">
      <c r="A23" s="5">
        <v>40817</v>
      </c>
      <c r="B23" s="6">
        <f>SUM(Pending_2_Weeks[[#This Row],[AZ | Phoenix]:[WA | Seattle]])</f>
        <v>13066</v>
      </c>
      <c r="C23" s="7">
        <v>2710</v>
      </c>
      <c r="D23" s="7">
        <v>1221</v>
      </c>
      <c r="E23" s="7">
        <v>1718</v>
      </c>
      <c r="F23" s="7">
        <v>35</v>
      </c>
      <c r="G23" s="7">
        <v>609</v>
      </c>
      <c r="H23" s="7">
        <v>1081</v>
      </c>
      <c r="I23" s="7">
        <v>409</v>
      </c>
      <c r="J23" s="7">
        <v>105</v>
      </c>
      <c r="K23" s="7">
        <v>592</v>
      </c>
      <c r="L23" s="7">
        <v>905</v>
      </c>
      <c r="M23" s="7">
        <v>1034</v>
      </c>
      <c r="N23" s="7">
        <v>258</v>
      </c>
      <c r="O23" s="7">
        <v>289</v>
      </c>
      <c r="P23" s="7">
        <v>264</v>
      </c>
      <c r="Q23" s="7">
        <v>130</v>
      </c>
      <c r="R23" s="7">
        <v>496</v>
      </c>
      <c r="T23" s="7">
        <v>364</v>
      </c>
      <c r="U23" s="7">
        <v>846</v>
      </c>
      <c r="V23" s="8"/>
      <c r="W23" s="8"/>
    </row>
    <row r="24" spans="1:23" x14ac:dyDescent="0.25">
      <c r="A24" s="5">
        <v>40848</v>
      </c>
      <c r="B24" s="6">
        <f>SUM(Pending_2_Weeks[[#This Row],[AZ | Phoenix]:[WA | Seattle]])</f>
        <v>11029</v>
      </c>
      <c r="C24" s="7">
        <v>2474</v>
      </c>
      <c r="D24" s="7">
        <v>1142</v>
      </c>
      <c r="E24" s="7">
        <v>1451</v>
      </c>
      <c r="F24" s="7">
        <v>30</v>
      </c>
      <c r="G24" s="7">
        <v>522</v>
      </c>
      <c r="H24" s="7">
        <v>863</v>
      </c>
      <c r="I24" s="7">
        <v>345</v>
      </c>
      <c r="J24" s="7">
        <v>106</v>
      </c>
      <c r="K24" s="7">
        <v>531</v>
      </c>
      <c r="L24" s="7">
        <v>714</v>
      </c>
      <c r="M24" s="7">
        <v>798</v>
      </c>
      <c r="N24" s="7">
        <v>188</v>
      </c>
      <c r="O24" s="7">
        <v>189</v>
      </c>
      <c r="P24" s="7">
        <v>220</v>
      </c>
      <c r="Q24" s="7">
        <v>130</v>
      </c>
      <c r="R24" s="7">
        <v>409</v>
      </c>
      <c r="T24" s="7">
        <v>284</v>
      </c>
      <c r="U24" s="7">
        <v>633</v>
      </c>
      <c r="V24" s="8"/>
      <c r="W24" s="8"/>
    </row>
    <row r="25" spans="1:23" x14ac:dyDescent="0.25">
      <c r="A25" s="5">
        <v>40878</v>
      </c>
      <c r="B25" s="6">
        <f>SUM(Pending_2_Weeks[[#This Row],[AZ | Phoenix]:[WA | Seattle]])</f>
        <v>9807</v>
      </c>
      <c r="C25" s="7">
        <v>2236</v>
      </c>
      <c r="D25" s="7">
        <v>1009</v>
      </c>
      <c r="E25" s="7">
        <v>1246</v>
      </c>
      <c r="F25" s="7">
        <v>128</v>
      </c>
      <c r="G25" s="7">
        <v>432</v>
      </c>
      <c r="H25" s="7">
        <v>715</v>
      </c>
      <c r="I25" s="7">
        <v>232</v>
      </c>
      <c r="J25" s="7">
        <v>90</v>
      </c>
      <c r="K25" s="7">
        <v>407</v>
      </c>
      <c r="L25" s="7">
        <v>643</v>
      </c>
      <c r="M25" s="7">
        <v>813</v>
      </c>
      <c r="N25" s="7">
        <v>153</v>
      </c>
      <c r="O25" s="7">
        <v>186</v>
      </c>
      <c r="P25" s="7">
        <v>219</v>
      </c>
      <c r="Q25" s="7">
        <v>150</v>
      </c>
      <c r="R25" s="7">
        <v>327</v>
      </c>
      <c r="T25" s="7">
        <v>268</v>
      </c>
      <c r="U25" s="7">
        <v>553</v>
      </c>
      <c r="V25" s="8"/>
      <c r="W25" s="8"/>
    </row>
    <row r="26" spans="1:23" x14ac:dyDescent="0.25">
      <c r="A26" s="5">
        <v>40909</v>
      </c>
      <c r="B26" s="6">
        <f>SUM(Pending_2_Weeks[[#This Row],[AZ | Phoenix]:[WA | Seattle]])</f>
        <v>15952</v>
      </c>
      <c r="C26" s="7">
        <v>3282</v>
      </c>
      <c r="D26" s="7">
        <v>1558</v>
      </c>
      <c r="E26" s="7">
        <v>2251</v>
      </c>
      <c r="F26" s="7">
        <v>42</v>
      </c>
      <c r="G26" s="7">
        <v>842</v>
      </c>
      <c r="H26" s="7">
        <v>1309</v>
      </c>
      <c r="I26" s="7">
        <v>532</v>
      </c>
      <c r="J26" s="7">
        <v>196</v>
      </c>
      <c r="K26" s="7">
        <v>738</v>
      </c>
      <c r="L26" s="7">
        <v>1071</v>
      </c>
      <c r="M26" s="7">
        <v>1127</v>
      </c>
      <c r="N26" s="7">
        <v>269</v>
      </c>
      <c r="O26" s="7">
        <v>314</v>
      </c>
      <c r="P26" s="7">
        <v>335</v>
      </c>
      <c r="Q26" s="7">
        <v>200</v>
      </c>
      <c r="R26" s="7">
        <v>570</v>
      </c>
      <c r="T26" s="7">
        <v>464</v>
      </c>
      <c r="U26" s="7">
        <v>852</v>
      </c>
      <c r="V26" s="8"/>
      <c r="W26" s="8"/>
    </row>
    <row r="27" spans="1:23" x14ac:dyDescent="0.25">
      <c r="A27" s="5">
        <v>40940</v>
      </c>
      <c r="B27" s="6">
        <f>SUM(Pending_2_Weeks[[#This Row],[AZ | Phoenix]:[WA | Seattle]])</f>
        <v>17960</v>
      </c>
      <c r="C27" s="7">
        <v>3262</v>
      </c>
      <c r="D27" s="7">
        <v>1744</v>
      </c>
      <c r="E27" s="7">
        <v>2490</v>
      </c>
      <c r="F27" s="7">
        <v>22</v>
      </c>
      <c r="G27" s="7">
        <v>856</v>
      </c>
      <c r="H27" s="7">
        <v>1489</v>
      </c>
      <c r="I27" s="7">
        <v>612</v>
      </c>
      <c r="J27" s="7">
        <v>232</v>
      </c>
      <c r="K27" s="7">
        <v>957</v>
      </c>
      <c r="L27" s="7">
        <v>1380</v>
      </c>
      <c r="M27" s="7">
        <v>1293</v>
      </c>
      <c r="N27" s="7">
        <v>365</v>
      </c>
      <c r="O27" s="7">
        <v>354</v>
      </c>
      <c r="P27" s="7">
        <v>286</v>
      </c>
      <c r="Q27" s="7">
        <v>185</v>
      </c>
      <c r="R27" s="7">
        <v>633</v>
      </c>
      <c r="T27" s="7">
        <v>622</v>
      </c>
      <c r="U27" s="7">
        <v>1178</v>
      </c>
      <c r="V27" s="8"/>
      <c r="W27" s="8"/>
    </row>
    <row r="28" spans="1:23" x14ac:dyDescent="0.25">
      <c r="A28" s="5">
        <v>40969</v>
      </c>
      <c r="B28" s="6">
        <f>SUM(Pending_2_Weeks[[#This Row],[AZ | Phoenix]:[WA | Seattle]])</f>
        <v>23566</v>
      </c>
      <c r="C28" s="7">
        <v>3758</v>
      </c>
      <c r="D28" s="7">
        <v>2060</v>
      </c>
      <c r="E28" s="7">
        <v>2970</v>
      </c>
      <c r="F28" s="7">
        <v>39</v>
      </c>
      <c r="G28" s="7">
        <v>1122</v>
      </c>
      <c r="H28" s="7">
        <v>1958</v>
      </c>
      <c r="I28" s="7">
        <v>777</v>
      </c>
      <c r="J28" s="7">
        <v>294</v>
      </c>
      <c r="K28" s="7">
        <v>1529</v>
      </c>
      <c r="L28" s="7">
        <v>2116</v>
      </c>
      <c r="M28" s="7">
        <v>1816</v>
      </c>
      <c r="N28" s="7">
        <v>558</v>
      </c>
      <c r="O28" s="7">
        <v>580</v>
      </c>
      <c r="P28" s="7">
        <v>362</v>
      </c>
      <c r="Q28" s="7">
        <v>221</v>
      </c>
      <c r="R28" s="7">
        <v>834</v>
      </c>
      <c r="T28" s="7">
        <v>914</v>
      </c>
      <c r="U28" s="7">
        <v>1658</v>
      </c>
      <c r="V28" s="8"/>
      <c r="W28" s="8"/>
    </row>
    <row r="29" spans="1:23" x14ac:dyDescent="0.25">
      <c r="A29" s="5">
        <v>41000</v>
      </c>
      <c r="B29" s="6">
        <f>SUM(Pending_2_Weeks[[#This Row],[AZ | Phoenix]:[WA | Seattle]])</f>
        <v>22972</v>
      </c>
      <c r="C29" s="7">
        <v>3503</v>
      </c>
      <c r="D29" s="7">
        <v>1933</v>
      </c>
      <c r="E29" s="7">
        <v>2859</v>
      </c>
      <c r="F29" s="7">
        <v>25</v>
      </c>
      <c r="G29" s="7">
        <v>1105</v>
      </c>
      <c r="H29" s="7">
        <v>1819</v>
      </c>
      <c r="I29" s="7">
        <v>753</v>
      </c>
      <c r="J29" s="7">
        <v>309</v>
      </c>
      <c r="K29" s="7">
        <v>1650</v>
      </c>
      <c r="L29" s="7">
        <v>2015</v>
      </c>
      <c r="M29" s="7">
        <v>1752</v>
      </c>
      <c r="N29" s="7">
        <v>441</v>
      </c>
      <c r="O29" s="7">
        <v>572</v>
      </c>
      <c r="P29" s="7">
        <v>393</v>
      </c>
      <c r="Q29" s="7">
        <v>238</v>
      </c>
      <c r="R29" s="7">
        <v>928</v>
      </c>
      <c r="T29" s="7">
        <v>886</v>
      </c>
      <c r="U29" s="7">
        <v>1791</v>
      </c>
      <c r="V29" s="8"/>
      <c r="W29" s="8"/>
    </row>
    <row r="30" spans="1:23" x14ac:dyDescent="0.25">
      <c r="A30" s="5">
        <v>41030</v>
      </c>
      <c r="B30" s="6">
        <f>SUM(Pending_2_Weeks[[#This Row],[AZ | Phoenix]:[WA | Seattle]])</f>
        <v>23536</v>
      </c>
      <c r="C30" s="7">
        <v>3271</v>
      </c>
      <c r="D30" s="7">
        <v>2227</v>
      </c>
      <c r="E30" s="7">
        <v>3410</v>
      </c>
      <c r="F30" s="7">
        <v>36</v>
      </c>
      <c r="G30" s="7">
        <v>1172</v>
      </c>
      <c r="H30" s="7">
        <v>2024</v>
      </c>
      <c r="I30" s="7">
        <v>826</v>
      </c>
      <c r="J30" s="7">
        <v>309</v>
      </c>
      <c r="K30" s="7">
        <v>1861</v>
      </c>
      <c r="L30" s="7">
        <v>1821</v>
      </c>
      <c r="M30" s="7">
        <v>1325</v>
      </c>
      <c r="N30" s="7">
        <v>271</v>
      </c>
      <c r="O30" s="7">
        <v>470</v>
      </c>
      <c r="P30" s="7">
        <v>318</v>
      </c>
      <c r="Q30" s="7">
        <v>201</v>
      </c>
      <c r="R30" s="7">
        <v>1051</v>
      </c>
      <c r="T30" s="7">
        <v>962</v>
      </c>
      <c r="U30" s="7">
        <v>1981</v>
      </c>
      <c r="V30" s="8"/>
      <c r="W30" s="8"/>
    </row>
    <row r="31" spans="1:23" x14ac:dyDescent="0.25">
      <c r="A31" s="5">
        <v>41061</v>
      </c>
      <c r="B31" s="6">
        <f>SUM(Pending_2_Weeks[[#This Row],[AZ | Phoenix]:[WA | Seattle]])</f>
        <v>22457</v>
      </c>
      <c r="C31" s="7">
        <v>3280</v>
      </c>
      <c r="D31" s="7">
        <v>2051</v>
      </c>
      <c r="E31" s="7">
        <v>3214</v>
      </c>
      <c r="F31" s="7">
        <v>36</v>
      </c>
      <c r="G31" s="7">
        <v>1208</v>
      </c>
      <c r="H31" s="7">
        <v>1761</v>
      </c>
      <c r="I31" s="7">
        <v>726</v>
      </c>
      <c r="J31" s="7">
        <v>325</v>
      </c>
      <c r="K31" s="7">
        <v>1646</v>
      </c>
      <c r="L31" s="7">
        <v>1560</v>
      </c>
      <c r="M31" s="7">
        <v>1360</v>
      </c>
      <c r="N31" s="7">
        <v>244</v>
      </c>
      <c r="O31" s="7">
        <v>468</v>
      </c>
      <c r="P31" s="7">
        <v>398</v>
      </c>
      <c r="Q31" s="7">
        <v>204</v>
      </c>
      <c r="R31" s="7">
        <v>1020</v>
      </c>
      <c r="S31" s="7">
        <v>293</v>
      </c>
      <c r="T31" s="7">
        <v>863</v>
      </c>
      <c r="U31" s="7">
        <v>1800</v>
      </c>
      <c r="V31" s="8"/>
      <c r="W31" s="8"/>
    </row>
    <row r="32" spans="1:23" x14ac:dyDescent="0.25">
      <c r="A32" s="5">
        <v>41091</v>
      </c>
      <c r="B32" s="6">
        <f>SUM(Pending_2_Weeks[[#This Row],[AZ | Phoenix]:[WA | Seattle]])</f>
        <v>20817</v>
      </c>
      <c r="C32" s="7">
        <v>2907</v>
      </c>
      <c r="D32" s="7">
        <v>2255</v>
      </c>
      <c r="E32" s="7">
        <v>3202</v>
      </c>
      <c r="F32" s="7">
        <v>34</v>
      </c>
      <c r="G32" s="7">
        <v>1109</v>
      </c>
      <c r="H32" s="7">
        <v>1799</v>
      </c>
      <c r="I32" s="7">
        <v>645</v>
      </c>
      <c r="J32" s="7">
        <v>282</v>
      </c>
      <c r="K32" s="7">
        <v>1373</v>
      </c>
      <c r="L32" s="7">
        <v>1284</v>
      </c>
      <c r="M32" s="7">
        <v>1138</v>
      </c>
      <c r="N32" s="7">
        <v>240</v>
      </c>
      <c r="O32" s="7">
        <v>472</v>
      </c>
      <c r="P32" s="7">
        <v>332</v>
      </c>
      <c r="Q32" s="7">
        <v>188</v>
      </c>
      <c r="R32" s="7">
        <v>928</v>
      </c>
      <c r="S32" s="7">
        <v>276</v>
      </c>
      <c r="T32" s="7">
        <v>713</v>
      </c>
      <c r="U32" s="7">
        <v>1640</v>
      </c>
    </row>
    <row r="33" spans="1:21" x14ac:dyDescent="0.25">
      <c r="A33" s="5">
        <v>41122</v>
      </c>
      <c r="B33" s="6">
        <f>SUM(Pending_2_Weeks[[#This Row],[AZ | Phoenix]:[WA | Seattle]])</f>
        <v>20842</v>
      </c>
      <c r="C33" s="7">
        <v>3043</v>
      </c>
      <c r="D33" s="7">
        <v>2344</v>
      </c>
      <c r="E33" s="7">
        <v>3217</v>
      </c>
      <c r="F33" s="7">
        <v>22</v>
      </c>
      <c r="G33" s="7">
        <v>1145</v>
      </c>
      <c r="H33" s="7">
        <v>1706</v>
      </c>
      <c r="I33" s="7">
        <v>642</v>
      </c>
      <c r="J33" s="7">
        <v>308</v>
      </c>
      <c r="K33" s="7">
        <v>1421</v>
      </c>
      <c r="L33" s="7">
        <v>1338</v>
      </c>
      <c r="M33" s="7">
        <v>1113</v>
      </c>
      <c r="N33" s="7">
        <v>206</v>
      </c>
      <c r="O33" s="7">
        <v>373</v>
      </c>
      <c r="P33" s="7">
        <v>419</v>
      </c>
      <c r="Q33" s="7">
        <v>152</v>
      </c>
      <c r="R33" s="7">
        <v>853</v>
      </c>
      <c r="S33" s="7">
        <v>281</v>
      </c>
      <c r="T33" s="7">
        <v>659</v>
      </c>
      <c r="U33" s="7">
        <v>1600</v>
      </c>
    </row>
    <row r="34" spans="1:21" s="11" customFormat="1" x14ac:dyDescent="0.25">
      <c r="A34" s="5">
        <v>41153</v>
      </c>
      <c r="B34" s="6">
        <f>SUM(Pending_2_Weeks[[#This Row],[AZ | Phoenix]:[WA | Seattle]])</f>
        <v>19153</v>
      </c>
      <c r="C34" s="7">
        <v>2533</v>
      </c>
      <c r="D34" s="7">
        <v>2162</v>
      </c>
      <c r="E34" s="7">
        <v>3072</v>
      </c>
      <c r="F34" s="7">
        <v>17</v>
      </c>
      <c r="G34" s="7">
        <v>1038</v>
      </c>
      <c r="H34" s="7">
        <v>1657</v>
      </c>
      <c r="I34" s="7">
        <v>635</v>
      </c>
      <c r="J34" s="7">
        <v>300</v>
      </c>
      <c r="K34" s="7">
        <v>1172</v>
      </c>
      <c r="L34" s="7">
        <v>1314</v>
      </c>
      <c r="M34" s="7">
        <v>1087</v>
      </c>
      <c r="N34" s="7">
        <v>286</v>
      </c>
      <c r="O34" s="7">
        <v>356</v>
      </c>
      <c r="P34" s="7">
        <v>322</v>
      </c>
      <c r="Q34" s="7">
        <v>175</v>
      </c>
      <c r="R34" s="7">
        <v>728</v>
      </c>
      <c r="S34" s="7">
        <v>301</v>
      </c>
      <c r="T34" s="7">
        <v>494</v>
      </c>
      <c r="U34" s="7">
        <v>1504</v>
      </c>
    </row>
    <row r="35" spans="1:21" x14ac:dyDescent="0.25">
      <c r="A35" s="5">
        <v>41183</v>
      </c>
      <c r="B35" s="6">
        <f>SUM(Pending_2_Weeks[[#This Row],[AZ | Phoenix]:[WA | Seattle]])</f>
        <v>19862</v>
      </c>
      <c r="C35" s="7">
        <v>2628</v>
      </c>
      <c r="D35" s="7">
        <v>2371</v>
      </c>
      <c r="E35" s="7">
        <v>3420</v>
      </c>
      <c r="F35" s="7">
        <v>25</v>
      </c>
      <c r="G35" s="7">
        <v>1124</v>
      </c>
      <c r="H35" s="7">
        <v>1583</v>
      </c>
      <c r="I35" s="7">
        <v>661</v>
      </c>
      <c r="J35" s="7">
        <v>343</v>
      </c>
      <c r="K35" s="7">
        <v>1161</v>
      </c>
      <c r="L35" s="7">
        <v>1325</v>
      </c>
      <c r="M35" s="7">
        <v>1146</v>
      </c>
      <c r="N35" s="7">
        <v>222</v>
      </c>
      <c r="O35" s="7">
        <v>365</v>
      </c>
      <c r="P35" s="7">
        <v>387</v>
      </c>
      <c r="Q35" s="7">
        <v>126</v>
      </c>
      <c r="R35" s="7">
        <v>638</v>
      </c>
      <c r="S35" s="7">
        <v>271</v>
      </c>
      <c r="T35" s="7">
        <v>584</v>
      </c>
      <c r="U35" s="7">
        <v>1482</v>
      </c>
    </row>
    <row r="36" spans="1:21" x14ac:dyDescent="0.25">
      <c r="A36" s="5">
        <v>41214</v>
      </c>
      <c r="B36" s="6">
        <f>SUM(Pending_2_Weeks[[#This Row],[AZ | Phoenix]:[WA | Seattle]])</f>
        <v>15442</v>
      </c>
      <c r="C36" s="7">
        <v>2124</v>
      </c>
      <c r="D36" s="7">
        <v>1830</v>
      </c>
      <c r="E36" s="7">
        <v>2779</v>
      </c>
      <c r="F36" s="7">
        <v>23</v>
      </c>
      <c r="G36" s="7">
        <v>890</v>
      </c>
      <c r="H36" s="7">
        <v>1173</v>
      </c>
      <c r="I36" s="7">
        <v>479</v>
      </c>
      <c r="J36" s="7">
        <v>247</v>
      </c>
      <c r="K36" s="7">
        <v>824</v>
      </c>
      <c r="L36" s="7">
        <v>1044</v>
      </c>
      <c r="M36" s="7">
        <v>853</v>
      </c>
      <c r="N36" s="7">
        <v>156</v>
      </c>
      <c r="O36" s="7">
        <v>311</v>
      </c>
      <c r="P36" s="7">
        <v>323</v>
      </c>
      <c r="Q36" s="7">
        <v>118</v>
      </c>
      <c r="R36" s="7">
        <v>472</v>
      </c>
      <c r="S36" s="7">
        <v>202</v>
      </c>
      <c r="T36" s="7">
        <v>476</v>
      </c>
      <c r="U36" s="7">
        <v>1118</v>
      </c>
    </row>
    <row r="37" spans="1:21" x14ac:dyDescent="0.25">
      <c r="A37" s="5">
        <v>41244</v>
      </c>
      <c r="B37" s="6">
        <f>SUM(Pending_2_Weeks[[#This Row],[AZ | Phoenix]:[WA | Seattle]])</f>
        <v>11458</v>
      </c>
      <c r="C37" s="7">
        <v>1560</v>
      </c>
      <c r="D37" s="7">
        <v>1558</v>
      </c>
      <c r="E37" s="7">
        <v>1961</v>
      </c>
      <c r="F37" s="7">
        <v>7</v>
      </c>
      <c r="G37" s="7">
        <v>639</v>
      </c>
      <c r="H37" s="7">
        <v>774</v>
      </c>
      <c r="I37" s="7">
        <v>298</v>
      </c>
      <c r="J37" s="7">
        <v>171</v>
      </c>
      <c r="K37" s="7">
        <v>603</v>
      </c>
      <c r="L37" s="7">
        <v>759</v>
      </c>
      <c r="M37" s="7">
        <v>689</v>
      </c>
      <c r="N37" s="7">
        <v>120</v>
      </c>
      <c r="O37" s="7">
        <v>203</v>
      </c>
      <c r="P37" s="7">
        <v>289</v>
      </c>
      <c r="Q37" s="7">
        <v>105</v>
      </c>
      <c r="R37" s="7">
        <v>395</v>
      </c>
      <c r="S37" s="7">
        <v>155</v>
      </c>
      <c r="T37" s="7">
        <v>362</v>
      </c>
      <c r="U37" s="7">
        <v>810</v>
      </c>
    </row>
    <row r="38" spans="1:21" x14ac:dyDescent="0.25">
      <c r="A38" s="5">
        <v>41275</v>
      </c>
      <c r="B38" s="6">
        <f>SUM(Pending_2_Weeks[[#This Row],[AZ | Phoenix]:[WA | Seattle]])</f>
        <v>20651</v>
      </c>
      <c r="C38" s="7">
        <v>2687</v>
      </c>
      <c r="D38" s="7">
        <v>2427</v>
      </c>
      <c r="E38" s="7">
        <v>3398</v>
      </c>
      <c r="F38" s="7">
        <v>18</v>
      </c>
      <c r="G38" s="7">
        <v>1167</v>
      </c>
      <c r="H38" s="7">
        <v>1454</v>
      </c>
      <c r="I38" s="7">
        <v>552</v>
      </c>
      <c r="J38" s="7">
        <v>305</v>
      </c>
      <c r="K38" s="7">
        <v>1325</v>
      </c>
      <c r="L38" s="7">
        <v>1412</v>
      </c>
      <c r="M38" s="7">
        <v>1212</v>
      </c>
      <c r="N38" s="7">
        <v>191</v>
      </c>
      <c r="O38" s="7">
        <v>406</v>
      </c>
      <c r="P38" s="7">
        <v>387</v>
      </c>
      <c r="Q38" s="7">
        <v>239</v>
      </c>
      <c r="R38" s="7">
        <v>775</v>
      </c>
      <c r="S38" s="7">
        <v>361</v>
      </c>
      <c r="T38" s="7">
        <v>794</v>
      </c>
      <c r="U38" s="7">
        <v>1541</v>
      </c>
    </row>
    <row r="39" spans="1:21" x14ac:dyDescent="0.25">
      <c r="A39" s="5">
        <v>41306</v>
      </c>
      <c r="B39" s="6">
        <f>SUM(Pending_2_Weeks[[#This Row],[AZ | Phoenix]:[WA | Seattle]])</f>
        <v>23137</v>
      </c>
      <c r="C39" s="7">
        <v>2687</v>
      </c>
      <c r="D39" s="7">
        <v>2323</v>
      </c>
      <c r="E39" s="7">
        <v>3673</v>
      </c>
      <c r="F39" s="7">
        <v>32</v>
      </c>
      <c r="G39" s="7">
        <v>1202</v>
      </c>
      <c r="H39" s="7">
        <v>1654</v>
      </c>
      <c r="I39" s="7">
        <v>680</v>
      </c>
      <c r="J39" s="7">
        <v>309</v>
      </c>
      <c r="K39" s="7">
        <v>1646</v>
      </c>
      <c r="L39" s="7">
        <v>1725</v>
      </c>
      <c r="M39" s="7">
        <v>1497</v>
      </c>
      <c r="N39" s="7">
        <v>184</v>
      </c>
      <c r="O39" s="7">
        <v>459</v>
      </c>
      <c r="P39" s="7">
        <v>435</v>
      </c>
      <c r="Q39" s="7">
        <v>248</v>
      </c>
      <c r="R39" s="7">
        <v>966</v>
      </c>
      <c r="S39" s="7">
        <v>456</v>
      </c>
      <c r="T39" s="7">
        <v>996</v>
      </c>
      <c r="U39" s="7">
        <v>1965</v>
      </c>
    </row>
    <row r="40" spans="1:21" x14ac:dyDescent="0.25">
      <c r="A40" s="5">
        <v>41334</v>
      </c>
      <c r="B40" s="6">
        <f>SUM(Pending_2_Weeks[[#This Row],[AZ | Phoenix]:[WA | Seattle]])</f>
        <v>28400</v>
      </c>
      <c r="C40" s="7">
        <v>3336</v>
      </c>
      <c r="D40" s="7">
        <v>2576</v>
      </c>
      <c r="E40" s="7">
        <v>4005</v>
      </c>
      <c r="F40" s="7">
        <v>23</v>
      </c>
      <c r="G40" s="7">
        <v>1463</v>
      </c>
      <c r="H40" s="7">
        <v>1991</v>
      </c>
      <c r="I40" s="7">
        <v>803</v>
      </c>
      <c r="J40" s="7">
        <v>356</v>
      </c>
      <c r="K40" s="7">
        <v>2260</v>
      </c>
      <c r="L40" s="7">
        <v>2384</v>
      </c>
      <c r="M40" s="7">
        <v>1756</v>
      </c>
      <c r="N40" s="7">
        <v>276</v>
      </c>
      <c r="O40" s="7">
        <v>672</v>
      </c>
      <c r="P40" s="7">
        <v>456</v>
      </c>
      <c r="Q40" s="7">
        <v>361</v>
      </c>
      <c r="R40" s="7">
        <v>1277</v>
      </c>
      <c r="S40" s="7">
        <v>542</v>
      </c>
      <c r="T40" s="7">
        <v>1391</v>
      </c>
      <c r="U40" s="7">
        <v>2472</v>
      </c>
    </row>
    <row r="41" spans="1:21" x14ac:dyDescent="0.25">
      <c r="A41" s="5">
        <v>41365</v>
      </c>
      <c r="B41" s="6">
        <f>SUM(Pending_2_Weeks[[#This Row],[AZ | Phoenix]:[WA | Seattle]])</f>
        <v>32435</v>
      </c>
      <c r="C41" s="7">
        <v>3514</v>
      </c>
      <c r="D41" s="7">
        <v>2662</v>
      </c>
      <c r="E41" s="7">
        <v>4362</v>
      </c>
      <c r="F41" s="7">
        <v>21</v>
      </c>
      <c r="G41" s="7">
        <v>1418</v>
      </c>
      <c r="H41" s="7">
        <v>2333</v>
      </c>
      <c r="I41" s="7">
        <v>904</v>
      </c>
      <c r="J41" s="7">
        <v>386</v>
      </c>
      <c r="K41" s="7">
        <v>2757</v>
      </c>
      <c r="L41" s="7">
        <v>2986</v>
      </c>
      <c r="M41" s="7">
        <v>2277</v>
      </c>
      <c r="N41" s="7">
        <v>491</v>
      </c>
      <c r="O41" s="7">
        <v>928</v>
      </c>
      <c r="P41" s="7">
        <v>463</v>
      </c>
      <c r="Q41" s="7">
        <v>425</v>
      </c>
      <c r="R41" s="7">
        <v>1561</v>
      </c>
      <c r="S41" s="7">
        <v>703</v>
      </c>
      <c r="T41" s="7">
        <v>1516</v>
      </c>
      <c r="U41" s="7">
        <v>2728</v>
      </c>
    </row>
    <row r="42" spans="1:21" x14ac:dyDescent="0.25">
      <c r="A42" s="5">
        <v>41395</v>
      </c>
      <c r="B42" s="6">
        <f>SUM(Pending_2_Weeks[[#This Row],[AZ | Phoenix]:[WA | Seattle]])</f>
        <v>27434</v>
      </c>
      <c r="C42" s="7">
        <v>2726</v>
      </c>
      <c r="D42" s="7">
        <v>2383</v>
      </c>
      <c r="E42" s="7">
        <v>3841</v>
      </c>
      <c r="F42" s="7">
        <v>30</v>
      </c>
      <c r="G42" s="7">
        <v>1432</v>
      </c>
      <c r="H42" s="7">
        <v>1912</v>
      </c>
      <c r="I42" s="7">
        <v>780</v>
      </c>
      <c r="J42" s="7">
        <v>309</v>
      </c>
      <c r="K42" s="7">
        <v>2848</v>
      </c>
      <c r="L42" s="7">
        <v>2373</v>
      </c>
      <c r="M42" s="7">
        <v>1276</v>
      </c>
      <c r="N42" s="7">
        <v>163</v>
      </c>
      <c r="O42" s="7">
        <v>774</v>
      </c>
      <c r="P42" s="7">
        <v>416</v>
      </c>
      <c r="Q42" s="7">
        <v>305</v>
      </c>
      <c r="R42" s="7">
        <v>1413</v>
      </c>
      <c r="S42" s="7">
        <v>523</v>
      </c>
      <c r="T42" s="7">
        <v>1354</v>
      </c>
      <c r="U42" s="7">
        <v>2576</v>
      </c>
    </row>
    <row r="43" spans="1:21" x14ac:dyDescent="0.25">
      <c r="A43" s="10" t="s">
        <v>21</v>
      </c>
      <c r="B43" s="10">
        <f>B42/B30-1</f>
        <v>0.16561862678450034</v>
      </c>
      <c r="C43" s="16">
        <f t="shared" ref="C43:U43" si="0">C42/C30-1</f>
        <v>-0.16661571384897589</v>
      </c>
      <c r="D43" s="16">
        <f t="shared" si="0"/>
        <v>7.0049393803322868E-2</v>
      </c>
      <c r="E43" s="16">
        <f t="shared" si="0"/>
        <v>0.12639296187683291</v>
      </c>
      <c r="F43" s="16">
        <f t="shared" si="0"/>
        <v>-0.16666666666666663</v>
      </c>
      <c r="G43" s="16">
        <f t="shared" si="0"/>
        <v>0.22184300341296925</v>
      </c>
      <c r="H43" s="16">
        <f t="shared" si="0"/>
        <v>-5.5335968379446654E-2</v>
      </c>
      <c r="I43" s="16">
        <f t="shared" si="0"/>
        <v>-5.5690072639225208E-2</v>
      </c>
      <c r="J43" s="16">
        <f t="shared" si="0"/>
        <v>0</v>
      </c>
      <c r="K43" s="16">
        <f t="shared" si="0"/>
        <v>0.53036002149382044</v>
      </c>
      <c r="L43" s="16">
        <f t="shared" si="0"/>
        <v>0.30313014827018114</v>
      </c>
      <c r="M43" s="16">
        <f t="shared" si="0"/>
        <v>-3.6981132075471712E-2</v>
      </c>
      <c r="N43" s="16">
        <f t="shared" si="0"/>
        <v>-0.39852398523985244</v>
      </c>
      <c r="O43" s="16">
        <f t="shared" si="0"/>
        <v>0.64680851063829792</v>
      </c>
      <c r="P43" s="16">
        <f t="shared" si="0"/>
        <v>0.30817610062893075</v>
      </c>
      <c r="Q43" s="16">
        <f t="shared" si="0"/>
        <v>0.51741293532338317</v>
      </c>
      <c r="R43" s="16">
        <f t="shared" si="0"/>
        <v>0.34443387250237878</v>
      </c>
      <c r="S43" s="16" t="e">
        <f t="shared" si="0"/>
        <v>#DIV/0!</v>
      </c>
      <c r="T43" s="16">
        <f t="shared" si="0"/>
        <v>0.40748440748440751</v>
      </c>
      <c r="U43" s="16">
        <f t="shared" si="0"/>
        <v>0.30035335689045928</v>
      </c>
    </row>
    <row r="44" spans="1:21" x14ac:dyDescent="0.25">
      <c r="A44" s="10" t="s">
        <v>22</v>
      </c>
      <c r="B44" s="10">
        <f>B42/B41-1</f>
        <v>-0.1541852936642516</v>
      </c>
      <c r="C44" s="16">
        <f t="shared" ref="C44:U44" si="1">C42/C41-1</f>
        <v>-0.22424587364826409</v>
      </c>
      <c r="D44" s="16">
        <f t="shared" si="1"/>
        <v>-0.10480841472577007</v>
      </c>
      <c r="E44" s="16">
        <f t="shared" si="1"/>
        <v>-0.119440623567171</v>
      </c>
      <c r="F44" s="16">
        <f t="shared" si="1"/>
        <v>0.4285714285714286</v>
      </c>
      <c r="G44" s="16">
        <f t="shared" si="1"/>
        <v>9.873060648801113E-3</v>
      </c>
      <c r="H44" s="16">
        <f t="shared" si="1"/>
        <v>-0.18045435062151738</v>
      </c>
      <c r="I44" s="16">
        <f t="shared" si="1"/>
        <v>-0.13716814159292035</v>
      </c>
      <c r="J44" s="16">
        <f t="shared" si="1"/>
        <v>-0.19948186528497414</v>
      </c>
      <c r="K44" s="16">
        <f t="shared" si="1"/>
        <v>3.3006891548784889E-2</v>
      </c>
      <c r="L44" s="16">
        <f t="shared" si="1"/>
        <v>-0.20529135967849965</v>
      </c>
      <c r="M44" s="16">
        <f t="shared" si="1"/>
        <v>-0.43961352657004826</v>
      </c>
      <c r="N44" s="16">
        <f t="shared" si="1"/>
        <v>-0.66802443991853355</v>
      </c>
      <c r="O44" s="16">
        <f t="shared" si="1"/>
        <v>-0.16594827586206895</v>
      </c>
      <c r="P44" s="16">
        <f t="shared" si="1"/>
        <v>-0.10151187904967607</v>
      </c>
      <c r="Q44" s="16">
        <f t="shared" si="1"/>
        <v>-0.28235294117647058</v>
      </c>
      <c r="R44" s="16">
        <f t="shared" si="1"/>
        <v>-9.4811018577834694E-2</v>
      </c>
      <c r="S44" s="16">
        <f t="shared" si="1"/>
        <v>-0.2560455192034139</v>
      </c>
      <c r="T44" s="16">
        <f t="shared" si="1"/>
        <v>-0.10686015831134565</v>
      </c>
      <c r="U44" s="16">
        <f t="shared" si="1"/>
        <v>-5.5718475073313734E-2</v>
      </c>
    </row>
  </sheetData>
  <conditionalFormatting sqref="B43:U44">
    <cfRule type="expression" dxfId="2" priority="1">
      <formula>B43&lt;=-0.0005</formula>
    </cfRule>
    <cfRule type="expression" dxfId="1" priority="2">
      <formula>B43&gt;=0.0005</formula>
    </cfRule>
    <cfRule type="expression" dxfId="0" priority="3">
      <formula>B43&lt;0.0005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12.42578125" bestFit="1" customWidth="1"/>
    <col min="3" max="3" width="17.85546875" bestFit="1" customWidth="1"/>
    <col min="4" max="5" width="15.85546875" bestFit="1" customWidth="1"/>
    <col min="6" max="6" width="14.140625" bestFit="1" customWidth="1"/>
    <col min="7" max="7" width="17.28515625" bestFit="1" customWidth="1"/>
    <col min="8" max="8" width="12.7109375" bestFit="1" customWidth="1"/>
    <col min="9" max="9" width="12.42578125" bestFit="1" customWidth="1"/>
    <col min="10" max="10" width="11.85546875" bestFit="1" customWidth="1"/>
    <col min="11" max="11" width="16.140625" bestFit="1" customWidth="1"/>
    <col min="12" max="12" width="11.140625" bestFit="1" customWidth="1"/>
    <col min="13" max="13" width="12.140625" bestFit="1" customWidth="1"/>
    <col min="14" max="14" width="14.85546875" bestFit="1" customWidth="1"/>
    <col min="15" max="15" width="14.140625" bestFit="1" customWidth="1"/>
    <col min="16" max="16" width="15.42578125" bestFit="1" customWidth="1"/>
    <col min="17" max="17" width="13.140625" bestFit="1" customWidth="1"/>
    <col min="18" max="18" width="16.5703125" bestFit="1" customWidth="1"/>
    <col min="19" max="19" width="10.7109375" bestFit="1" customWidth="1"/>
    <col min="20" max="20" width="12.42578125" bestFit="1" customWidth="1"/>
  </cols>
  <sheetData>
    <row r="1" spans="1:22" s="4" customFormat="1" x14ac:dyDescent="0.25">
      <c r="A1" s="19" t="s">
        <v>24</v>
      </c>
      <c r="B1" s="13" t="s">
        <v>8</v>
      </c>
      <c r="C1" s="13" t="s">
        <v>7</v>
      </c>
      <c r="D1" s="13" t="s">
        <v>2</v>
      </c>
      <c r="E1" s="13" t="s">
        <v>15</v>
      </c>
      <c r="F1" s="13" t="s">
        <v>11</v>
      </c>
      <c r="G1" s="13" t="s">
        <v>6</v>
      </c>
      <c r="H1" s="13" t="s">
        <v>18</v>
      </c>
      <c r="I1" s="13" t="s">
        <v>20</v>
      </c>
      <c r="J1" s="13" t="s">
        <v>14</v>
      </c>
      <c r="K1" s="13" t="s">
        <v>4</v>
      </c>
      <c r="L1" s="13" t="s">
        <v>3</v>
      </c>
      <c r="M1" s="13" t="s">
        <v>9</v>
      </c>
      <c r="N1" s="13" t="s">
        <v>13</v>
      </c>
      <c r="O1" s="13" t="s">
        <v>17</v>
      </c>
      <c r="P1" s="13" t="s">
        <v>12</v>
      </c>
      <c r="Q1" s="13" t="s">
        <v>16</v>
      </c>
      <c r="R1" s="13" t="s">
        <v>5</v>
      </c>
      <c r="S1" s="13" t="s">
        <v>19</v>
      </c>
      <c r="T1" s="13" t="s">
        <v>10</v>
      </c>
    </row>
    <row r="2" spans="1:22" s="8" customFormat="1" x14ac:dyDescent="0.25">
      <c r="A2" s="17" t="s">
        <v>23</v>
      </c>
      <c r="B2" s="7">
        <v>4192887</v>
      </c>
      <c r="C2" s="7">
        <v>4224851</v>
      </c>
      <c r="D2" s="7">
        <v>12828837</v>
      </c>
      <c r="E2" s="7">
        <v>2149127</v>
      </c>
      <c r="F2" s="7">
        <v>3095313</v>
      </c>
      <c r="G2" s="7">
        <v>4335391</v>
      </c>
      <c r="H2" s="7">
        <v>1836911</v>
      </c>
      <c r="I2" s="7">
        <v>823318</v>
      </c>
      <c r="J2" s="7">
        <v>2489661</v>
      </c>
      <c r="K2" s="7">
        <v>5582170</v>
      </c>
      <c r="L2" s="7">
        <v>7883147</v>
      </c>
      <c r="M2" s="7">
        <v>4134036</v>
      </c>
      <c r="N2" s="7">
        <v>2710489</v>
      </c>
      <c r="O2" s="7">
        <v>1951269</v>
      </c>
      <c r="P2" s="7">
        <v>2832882</v>
      </c>
      <c r="Q2" s="7">
        <v>2066399</v>
      </c>
      <c r="R2" s="7">
        <v>5426864</v>
      </c>
      <c r="S2" s="7">
        <v>1678223</v>
      </c>
      <c r="T2" s="7">
        <v>3439809</v>
      </c>
      <c r="U2" s="15"/>
      <c r="V2" s="15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Q6" sqref="Q6"/>
    </sheetView>
  </sheetViews>
  <sheetFormatPr defaultRowHeight="15" x14ac:dyDescent="0.25"/>
  <cols>
    <col min="1" max="1" width="10.85546875" bestFit="1" customWidth="1"/>
    <col min="2" max="4" width="5" style="61" bestFit="1" customWidth="1"/>
    <col min="5" max="5" width="5" bestFit="1" customWidth="1"/>
    <col min="6" max="7" width="10.85546875" bestFit="1" customWidth="1"/>
    <col min="8" max="11" width="7.5703125" bestFit="1" customWidth="1"/>
    <col min="12" max="12" width="6.5703125" bestFit="1" customWidth="1"/>
    <col min="13" max="13" width="10.85546875" bestFit="1" customWidth="1"/>
    <col min="14" max="17" width="6.5703125" bestFit="1" customWidth="1"/>
  </cols>
  <sheetData>
    <row r="1" spans="1:17" s="62" customFormat="1" x14ac:dyDescent="0.25">
      <c r="A1" s="62" t="s">
        <v>64</v>
      </c>
      <c r="B1" s="63" t="s">
        <v>65</v>
      </c>
      <c r="C1" s="63" t="s">
        <v>66</v>
      </c>
      <c r="D1" s="63" t="s">
        <v>67</v>
      </c>
      <c r="E1" s="63" t="s">
        <v>69</v>
      </c>
      <c r="G1" s="62" t="s">
        <v>64</v>
      </c>
      <c r="H1" s="63" t="s">
        <v>65</v>
      </c>
      <c r="I1" s="63" t="s">
        <v>66</v>
      </c>
      <c r="J1" s="63" t="s">
        <v>67</v>
      </c>
      <c r="K1" s="63" t="s">
        <v>69</v>
      </c>
      <c r="M1" s="62" t="s">
        <v>64</v>
      </c>
      <c r="N1" s="63" t="s">
        <v>65</v>
      </c>
      <c r="O1" s="63" t="s">
        <v>66</v>
      </c>
      <c r="P1" s="63" t="s">
        <v>67</v>
      </c>
      <c r="Q1" s="63" t="s">
        <v>69</v>
      </c>
    </row>
    <row r="2" spans="1:17" x14ac:dyDescent="0.25">
      <c r="A2" s="60">
        <v>40179</v>
      </c>
      <c r="B2" s="61">
        <f>('Median $-SqFt'!$C2)</f>
        <v>171.62629381771805</v>
      </c>
      <c r="C2" s="61">
        <f>('Median $-SqFt'!$C14)</f>
        <v>166.32615859807322</v>
      </c>
      <c r="D2" s="61">
        <f>('Median $-SqFt'!$C26)</f>
        <v>160.87688523032872</v>
      </c>
      <c r="E2" s="61">
        <f>('Median $-SqFt'!$C38)</f>
        <v>177.34392548928309</v>
      </c>
      <c r="G2" s="60">
        <v>40179</v>
      </c>
      <c r="H2" s="18">
        <f>(Listings!$B2)</f>
        <v>272928</v>
      </c>
      <c r="I2" s="18">
        <f>(Listings!$B14)</f>
        <v>285167</v>
      </c>
      <c r="J2" s="18">
        <f>(Listings!$B26)</f>
        <v>241164</v>
      </c>
      <c r="K2" s="18">
        <f>(Listings!$B38)</f>
        <v>166139</v>
      </c>
      <c r="M2" s="60">
        <v>40179</v>
      </c>
      <c r="N2" s="18">
        <f>('Sales Volume'!$B2)</f>
        <v>43237</v>
      </c>
      <c r="O2" s="18">
        <f>('Sales Volume'!$B14)</f>
        <v>42809</v>
      </c>
      <c r="P2" s="18">
        <f>('Sales Volume'!$B26)</f>
        <v>42356</v>
      </c>
      <c r="Q2" s="18">
        <f>('Sales Volume'!$B38)</f>
        <v>47574</v>
      </c>
    </row>
    <row r="3" spans="1:17" x14ac:dyDescent="0.25">
      <c r="A3" s="60">
        <v>40210</v>
      </c>
      <c r="B3" s="61">
        <f>('Median $-SqFt'!$C3)</f>
        <v>170.91567218531728</v>
      </c>
      <c r="C3" s="61">
        <f>('Median $-SqFt'!$C15)</f>
        <v>164.61016047621487</v>
      </c>
      <c r="D3" s="61">
        <f>('Median $-SqFt'!$C27)</f>
        <v>160.37804025937277</v>
      </c>
      <c r="E3" s="61">
        <f>('Median $-SqFt'!$C39)</f>
        <v>181.10703108271213</v>
      </c>
      <c r="G3" s="60">
        <v>40210</v>
      </c>
      <c r="H3" s="18">
        <f>(Listings!$B3)</f>
        <v>285530</v>
      </c>
      <c r="I3" s="18">
        <f>(Listings!$B15)</f>
        <v>286593</v>
      </c>
      <c r="J3" s="18">
        <f>(Listings!$B27)</f>
        <v>238745</v>
      </c>
      <c r="K3" s="18">
        <f>(Listings!$B39)</f>
        <v>167014</v>
      </c>
      <c r="M3" s="60">
        <v>40210</v>
      </c>
      <c r="N3" s="18">
        <f>('Sales Volume'!$B3)</f>
        <v>43664</v>
      </c>
      <c r="O3" s="18">
        <f>('Sales Volume'!$B15)</f>
        <v>42691</v>
      </c>
      <c r="P3" s="18">
        <f>('Sales Volume'!$B27)</f>
        <v>46828</v>
      </c>
      <c r="Q3" s="18">
        <f>('Sales Volume'!$B39)</f>
        <v>47892.026621402692</v>
      </c>
    </row>
    <row r="4" spans="1:17" x14ac:dyDescent="0.25">
      <c r="A4" s="60">
        <v>40238</v>
      </c>
      <c r="B4" s="61">
        <f>('Median $-SqFt'!$C4)</f>
        <v>177.33929115035198</v>
      </c>
      <c r="C4" s="61">
        <f>('Median $-SqFt'!$C16)</f>
        <v>168.680358828875</v>
      </c>
      <c r="D4" s="61">
        <f>('Median $-SqFt'!$C28)</f>
        <v>167.13294887845018</v>
      </c>
      <c r="E4" s="61">
        <f>('Median $-SqFt'!$C40)</f>
        <v>191.36783482661303</v>
      </c>
      <c r="G4" s="60">
        <v>40238</v>
      </c>
      <c r="H4" s="18">
        <f>(Listings!$B4)</f>
        <v>305294</v>
      </c>
      <c r="I4" s="18">
        <f>(Listings!$B16)</f>
        <v>292822</v>
      </c>
      <c r="J4" s="18">
        <f>(Listings!$B28)</f>
        <v>235994</v>
      </c>
      <c r="K4" s="18">
        <f>(Listings!$B40)</f>
        <v>166802</v>
      </c>
      <c r="M4" s="60">
        <v>40238</v>
      </c>
      <c r="N4" s="18">
        <f>('Sales Volume'!$B4)</f>
        <v>60969</v>
      </c>
      <c r="O4" s="18">
        <f>('Sales Volume'!$B16)</f>
        <v>58477</v>
      </c>
      <c r="P4" s="18">
        <f>('Sales Volume'!$B28)</f>
        <v>59428</v>
      </c>
      <c r="Q4" s="18">
        <f>('Sales Volume'!$B40)</f>
        <v>61420</v>
      </c>
    </row>
    <row r="5" spans="1:17" x14ac:dyDescent="0.25">
      <c r="A5" s="60">
        <v>40269</v>
      </c>
      <c r="B5" s="61">
        <f>('Median $-SqFt'!$C5)</f>
        <v>180.19419643038154</v>
      </c>
      <c r="C5" s="61">
        <f>('Median $-SqFt'!$C17)</f>
        <v>171.56250039190991</v>
      </c>
      <c r="D5" s="61">
        <f>('Median $-SqFt'!$C29)</f>
        <v>172.7882320594085</v>
      </c>
      <c r="E5" s="61">
        <f>('Median $-SqFt'!$C41)</f>
        <v>199.89730975363611</v>
      </c>
      <c r="G5" s="60">
        <v>40269</v>
      </c>
      <c r="H5" s="18">
        <f>(Listings!$B5)</f>
        <v>317175</v>
      </c>
      <c r="I5" s="18">
        <f>(Listings!$B17)</f>
        <v>298574</v>
      </c>
      <c r="J5" s="18">
        <f>(Listings!$B29)</f>
        <v>238481</v>
      </c>
      <c r="K5" s="18">
        <f>(Listings!$B41)</f>
        <v>176978</v>
      </c>
      <c r="M5" s="60">
        <v>40269</v>
      </c>
      <c r="N5" s="18">
        <f>('Sales Volume'!$B5)</f>
        <v>64418</v>
      </c>
      <c r="O5" s="18">
        <f>('Sales Volume'!$B17)</f>
        <v>57259</v>
      </c>
      <c r="P5" s="18">
        <f>('Sales Volume'!$B29)</f>
        <v>59468</v>
      </c>
      <c r="Q5" s="18">
        <f>('Sales Volume'!$B41)</f>
        <v>68316</v>
      </c>
    </row>
    <row r="6" spans="1:17" x14ac:dyDescent="0.25">
      <c r="A6" s="60">
        <v>40299</v>
      </c>
      <c r="B6" s="61">
        <f>('Median $-SqFt'!$C6)</f>
        <v>185.61343317912235</v>
      </c>
      <c r="C6" s="61">
        <f>('Median $-SqFt'!$C18)</f>
        <v>173.67849962791698</v>
      </c>
      <c r="D6" s="61">
        <f>('Median $-SqFt'!$C30)</f>
        <v>177.50241678066394</v>
      </c>
      <c r="E6" s="61">
        <f>('Median $-SqFt'!$C42)</f>
        <v>208.4227762165448</v>
      </c>
      <c r="G6" s="60">
        <v>40299</v>
      </c>
      <c r="H6" s="18">
        <f>(Listings!$B6)</f>
        <v>317979</v>
      </c>
      <c r="I6" s="18">
        <f>(Listings!$B18)</f>
        <v>304680</v>
      </c>
      <c r="J6" s="18">
        <f>(Listings!$B30)</f>
        <v>236456</v>
      </c>
      <c r="K6" s="18">
        <f>(Listings!$B42)</f>
        <v>184673</v>
      </c>
      <c r="M6" s="60">
        <v>40299</v>
      </c>
      <c r="N6" s="18">
        <f>('Sales Volume'!$B6)</f>
        <v>67771</v>
      </c>
      <c r="O6" s="18">
        <f>('Sales Volume'!$B18)</f>
        <v>59838</v>
      </c>
      <c r="P6" s="18">
        <f>('Sales Volume'!$B30)</f>
        <v>69608</v>
      </c>
      <c r="Q6" s="18">
        <f>('Sales Volume'!$B42)</f>
        <v>79109.729925545704</v>
      </c>
    </row>
    <row r="7" spans="1:17" x14ac:dyDescent="0.25">
      <c r="A7" s="60">
        <v>40330</v>
      </c>
      <c r="B7" s="61">
        <f>('Median $-SqFt'!$C7)</f>
        <v>185.54045681038417</v>
      </c>
      <c r="C7" s="61">
        <f>('Median $-SqFt'!$C19)</f>
        <v>176.77644821027747</v>
      </c>
      <c r="D7" s="61">
        <f>('Median $-SqFt'!$C31)</f>
        <v>181.80837294320276</v>
      </c>
      <c r="E7" s="61"/>
      <c r="G7" s="60">
        <v>40330</v>
      </c>
      <c r="H7" s="18">
        <f>(Listings!$B7)</f>
        <v>328047</v>
      </c>
      <c r="I7" s="18">
        <f>(Listings!$B19)</f>
        <v>305332</v>
      </c>
      <c r="J7" s="18">
        <f>(Listings!$B31)</f>
        <v>232796</v>
      </c>
      <c r="K7" s="18"/>
      <c r="M7" s="60">
        <v>40330</v>
      </c>
      <c r="N7" s="18">
        <f>('Sales Volume'!$B7)</f>
        <v>76431</v>
      </c>
      <c r="O7" s="18">
        <f>('Sales Volume'!$B19)</f>
        <v>66000</v>
      </c>
      <c r="P7" s="18">
        <f>('Sales Volume'!$B31)</f>
        <v>71927</v>
      </c>
      <c r="Q7" s="18"/>
    </row>
    <row r="8" spans="1:17" x14ac:dyDescent="0.25">
      <c r="A8" s="60">
        <v>40360</v>
      </c>
      <c r="B8" s="61">
        <f>('Median $-SqFt'!$C8)</f>
        <v>184.23580728002989</v>
      </c>
      <c r="C8" s="61">
        <f>('Median $-SqFt'!$C20)</f>
        <v>176.00093558392931</v>
      </c>
      <c r="D8" s="61">
        <f>('Median $-SqFt'!$C32)</f>
        <v>181.52836639616723</v>
      </c>
      <c r="E8" s="61"/>
      <c r="G8" s="60">
        <v>40360</v>
      </c>
      <c r="H8" s="18">
        <f>(Listings!$B8)</f>
        <v>330982</v>
      </c>
      <c r="I8" s="18">
        <f>(Listings!$B20)</f>
        <v>297798</v>
      </c>
      <c r="J8" s="18">
        <f>(Listings!$B32)</f>
        <v>225546</v>
      </c>
      <c r="K8" s="18"/>
      <c r="M8" s="60">
        <v>40360</v>
      </c>
      <c r="N8" s="18">
        <f>('Sales Volume'!$B8)</f>
        <v>56583</v>
      </c>
      <c r="O8" s="18">
        <f>('Sales Volume'!$B20)</f>
        <v>58958</v>
      </c>
      <c r="P8" s="18">
        <f>('Sales Volume'!$B32)</f>
        <v>65764</v>
      </c>
      <c r="Q8" s="18"/>
    </row>
    <row r="9" spans="1:17" x14ac:dyDescent="0.25">
      <c r="A9" s="60">
        <v>40391</v>
      </c>
      <c r="B9" s="61">
        <f>('Median $-SqFt'!$C9)</f>
        <v>181.14954585540704</v>
      </c>
      <c r="C9" s="61">
        <f>('Median $-SqFt'!$C21)</f>
        <v>173.19560589180068</v>
      </c>
      <c r="D9" s="61">
        <f>('Median $-SqFt'!$C33)</f>
        <v>181.47747734328618</v>
      </c>
      <c r="E9" s="61"/>
      <c r="G9" s="60">
        <v>40391</v>
      </c>
      <c r="H9" s="18">
        <f>(Listings!$B9)</f>
        <v>333788</v>
      </c>
      <c r="I9" s="18">
        <f>(Listings!$B21)</f>
        <v>292038</v>
      </c>
      <c r="J9" s="18">
        <f>(Listings!$B33)</f>
        <v>218961</v>
      </c>
      <c r="K9" s="18"/>
      <c r="M9" s="60">
        <v>40391</v>
      </c>
      <c r="N9" s="18">
        <f>('Sales Volume'!$B9)</f>
        <v>55697</v>
      </c>
      <c r="O9" s="18">
        <f>('Sales Volume'!$B21)</f>
        <v>63233</v>
      </c>
      <c r="P9" s="18">
        <f>('Sales Volume'!$B33)</f>
        <v>70523</v>
      </c>
      <c r="Q9" s="18"/>
    </row>
    <row r="10" spans="1:17" x14ac:dyDescent="0.25">
      <c r="A10" s="60">
        <v>40422</v>
      </c>
      <c r="B10" s="61">
        <f>('Median $-SqFt'!$C10)</f>
        <v>178.70478981200228</v>
      </c>
      <c r="C10" s="61">
        <f>('Median $-SqFt'!$C22)</f>
        <v>170.65561768848539</v>
      </c>
      <c r="D10" s="61">
        <f>('Median $-SqFt'!$C34)</f>
        <v>179.5118490934087</v>
      </c>
      <c r="E10" s="61"/>
      <c r="G10" s="60">
        <v>40422</v>
      </c>
      <c r="H10" s="18">
        <f>(Listings!$B10)</f>
        <v>333368</v>
      </c>
      <c r="I10" s="18">
        <f>(Listings!$B22)</f>
        <v>287470</v>
      </c>
      <c r="J10" s="18">
        <f>(Listings!$B34)</f>
        <v>213088</v>
      </c>
      <c r="K10" s="18"/>
      <c r="M10" s="60">
        <v>40422</v>
      </c>
      <c r="N10" s="18">
        <f>('Sales Volume'!$B10)</f>
        <v>53140</v>
      </c>
      <c r="O10" s="18">
        <f>('Sales Volume'!$B22)</f>
        <v>56305</v>
      </c>
      <c r="P10" s="18">
        <f>('Sales Volume'!$B34)</f>
        <v>57670</v>
      </c>
      <c r="Q10" s="18"/>
    </row>
    <row r="11" spans="1:17" x14ac:dyDescent="0.25">
      <c r="A11" s="60">
        <v>40452</v>
      </c>
      <c r="B11" s="61">
        <f>('Median $-SqFt'!$C11)</f>
        <v>177.13374076087527</v>
      </c>
      <c r="C11" s="61">
        <f>('Median $-SqFt'!$C23)</f>
        <v>166.25464566524096</v>
      </c>
      <c r="D11" s="61">
        <f>('Median $-SqFt'!$C35)</f>
        <v>180.22942306121982</v>
      </c>
      <c r="E11" s="61"/>
      <c r="G11" s="60">
        <v>40452</v>
      </c>
      <c r="H11" s="18">
        <f>(Listings!$B11)</f>
        <v>319973</v>
      </c>
      <c r="I11" s="18">
        <f>(Listings!$B23)</f>
        <v>276974</v>
      </c>
      <c r="J11" s="18">
        <f>(Listings!$B35)</f>
        <v>204857</v>
      </c>
      <c r="K11" s="18"/>
      <c r="M11" s="60">
        <v>40452</v>
      </c>
      <c r="N11" s="18">
        <f>('Sales Volume'!$B11)</f>
        <v>50071</v>
      </c>
      <c r="O11" s="18">
        <f>('Sales Volume'!$B23)</f>
        <v>51951</v>
      </c>
      <c r="P11" s="18">
        <f>('Sales Volume'!$B35)</f>
        <v>63300.627865269584</v>
      </c>
      <c r="Q11" s="18"/>
    </row>
    <row r="12" spans="1:17" x14ac:dyDescent="0.25">
      <c r="A12" s="60">
        <v>40483</v>
      </c>
      <c r="B12" s="61">
        <f>('Median $-SqFt'!$C12)</f>
        <v>176.38432256755044</v>
      </c>
      <c r="C12" s="61">
        <f>('Median $-SqFt'!$C24)</f>
        <v>167.37710805476922</v>
      </c>
      <c r="D12" s="61">
        <f>('Median $-SqFt'!$C36)</f>
        <v>183.66727284621453</v>
      </c>
      <c r="E12" s="61"/>
      <c r="G12" s="60">
        <v>40483</v>
      </c>
      <c r="H12" s="18">
        <f>(Listings!$B12)</f>
        <v>307641</v>
      </c>
      <c r="I12" s="18">
        <f>(Listings!$B24)</f>
        <v>261922</v>
      </c>
      <c r="J12" s="18">
        <f>(Listings!$B36)</f>
        <v>191242</v>
      </c>
      <c r="K12" s="18"/>
      <c r="M12" s="60">
        <v>40483</v>
      </c>
      <c r="N12" s="18">
        <f>('Sales Volume'!$B12)</f>
        <v>49295</v>
      </c>
      <c r="O12" s="18">
        <f>('Sales Volume'!$B24)</f>
        <v>50051</v>
      </c>
      <c r="P12" s="18">
        <f>('Sales Volume'!$B36)</f>
        <v>58389</v>
      </c>
      <c r="Q12" s="18"/>
    </row>
    <row r="13" spans="1:17" x14ac:dyDescent="0.25">
      <c r="A13" s="60">
        <v>40513</v>
      </c>
      <c r="B13" s="61">
        <f>('Median $-SqFt'!$C13)</f>
        <v>172.95315051946454</v>
      </c>
      <c r="C13" s="61">
        <f>('Median $-SqFt'!$C25)</f>
        <v>164.47139382302916</v>
      </c>
      <c r="D13" s="61">
        <f>('Median $-SqFt'!$C37)</f>
        <v>181.81324164433082</v>
      </c>
      <c r="E13" s="61"/>
      <c r="G13" s="60">
        <v>40513</v>
      </c>
      <c r="H13" s="18">
        <f>(Listings!$B13)</f>
        <v>286028</v>
      </c>
      <c r="I13" s="18">
        <f>(Listings!$B25)</f>
        <v>241470</v>
      </c>
      <c r="J13" s="18">
        <f>(Listings!$B37)</f>
        <v>170200</v>
      </c>
      <c r="K13" s="18"/>
      <c r="M13" s="60">
        <v>40513</v>
      </c>
      <c r="N13" s="18">
        <f>('Sales Volume'!$B13)</f>
        <v>57077</v>
      </c>
      <c r="O13" s="18">
        <f>('Sales Volume'!$B25)</f>
        <v>54177</v>
      </c>
      <c r="P13" s="18">
        <f>('Sales Volume'!$B37)</f>
        <v>59279</v>
      </c>
      <c r="Q13" s="18"/>
    </row>
  </sheetData>
  <pageMargins left="0.7" right="0.7" top="0.75" bottom="0.75" header="0.3" footer="0.3"/>
  <ignoredErrors>
    <ignoredError sqref="D9:D11 B2:D8 B9:C13 J11 J9:J10 H2:J8 H13:I13 H12:I12 H9:I9 H10:I10 H11:I11 N2:P8 N9:P9 N10:P10 N11:P11 N13:O13 N12:O12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pane xSplit="1" ySplit="1" topLeftCell="C14" activePane="bottomRight" state="frozenSplit"/>
      <selection pane="topRight" activeCell="B1" sqref="B1"/>
      <selection pane="bottomLeft" activeCell="A2" sqref="A2"/>
      <selection pane="bottomRight" activeCell="C42" sqref="C42"/>
    </sheetView>
  </sheetViews>
  <sheetFormatPr defaultRowHeight="15" x14ac:dyDescent="0.25"/>
  <cols>
    <col min="1" max="1" width="7.5703125" style="9" bestFit="1" customWidth="1"/>
    <col min="2" max="2" width="9.140625" style="14" hidden="1" customWidth="1"/>
    <col min="3" max="3" width="8.5703125" style="14" bestFit="1" customWidth="1"/>
    <col min="4" max="4" width="12.42578125" style="15" bestFit="1" customWidth="1"/>
    <col min="5" max="5" width="17.85546875" style="15" bestFit="1" customWidth="1"/>
    <col min="6" max="7" width="15.85546875" style="15" bestFit="1" customWidth="1"/>
    <col min="8" max="8" width="14.140625" style="15" bestFit="1" customWidth="1"/>
    <col min="9" max="9" width="17.28515625" style="15" bestFit="1" customWidth="1"/>
    <col min="10" max="10" width="12.7109375" style="15" bestFit="1" customWidth="1"/>
    <col min="11" max="11" width="12.42578125" style="15" bestFit="1" customWidth="1"/>
    <col min="12" max="12" width="11.85546875" style="15" bestFit="1" customWidth="1"/>
    <col min="13" max="13" width="16.140625" style="15" bestFit="1" customWidth="1"/>
    <col min="14" max="14" width="11.140625" style="15" bestFit="1" customWidth="1"/>
    <col min="15" max="15" width="12.140625" style="15" bestFit="1" customWidth="1"/>
    <col min="16" max="16" width="14.85546875" style="15" bestFit="1" customWidth="1"/>
    <col min="17" max="17" width="14.140625" style="15" bestFit="1" customWidth="1"/>
    <col min="18" max="18" width="15.42578125" style="15" bestFit="1" customWidth="1"/>
    <col min="19" max="19" width="13.140625" style="15" bestFit="1" customWidth="1"/>
    <col min="20" max="20" width="16.5703125" style="15" bestFit="1" customWidth="1"/>
    <col min="21" max="21" width="10.7109375" style="15" bestFit="1" customWidth="1"/>
    <col min="22" max="22" width="12.42578125" style="15" bestFit="1" customWidth="1"/>
    <col min="23" max="23" width="10.28515625" style="15" bestFit="1" customWidth="1"/>
    <col min="24" max="24" width="12.42578125" style="15" bestFit="1" customWidth="1"/>
    <col min="25" max="25" width="7" style="8" bestFit="1" customWidth="1"/>
    <col min="26" max="16384" width="9.140625" style="8"/>
  </cols>
  <sheetData>
    <row r="1" spans="1:24" s="4" customFormat="1" x14ac:dyDescent="0.25">
      <c r="A1" s="1" t="s">
        <v>0</v>
      </c>
      <c r="B1" s="12" t="s">
        <v>25</v>
      </c>
      <c r="C1" s="12" t="s">
        <v>1</v>
      </c>
      <c r="D1" s="13" t="s">
        <v>8</v>
      </c>
      <c r="E1" s="13" t="s">
        <v>7</v>
      </c>
      <c r="F1" s="13" t="s">
        <v>2</v>
      </c>
      <c r="G1" s="13" t="s">
        <v>15</v>
      </c>
      <c r="H1" s="13" t="s">
        <v>11</v>
      </c>
      <c r="I1" s="13" t="s">
        <v>6</v>
      </c>
      <c r="J1" s="13" t="s">
        <v>18</v>
      </c>
      <c r="K1" s="13" t="s">
        <v>20</v>
      </c>
      <c r="L1" s="13" t="s">
        <v>14</v>
      </c>
      <c r="M1" s="13" t="s">
        <v>4</v>
      </c>
      <c r="N1" s="13" t="s">
        <v>3</v>
      </c>
      <c r="O1" s="13" t="s">
        <v>9</v>
      </c>
      <c r="P1" s="13" t="s">
        <v>13</v>
      </c>
      <c r="Q1" s="13" t="s">
        <v>17</v>
      </c>
      <c r="R1" s="13" t="s">
        <v>12</v>
      </c>
      <c r="S1" s="13" t="s">
        <v>16</v>
      </c>
      <c r="T1" s="13" t="s">
        <v>5</v>
      </c>
      <c r="U1" s="13" t="s">
        <v>19</v>
      </c>
      <c r="V1" s="13" t="s">
        <v>10</v>
      </c>
    </row>
    <row r="2" spans="1:24" x14ac:dyDescent="0.25">
      <c r="A2" s="5">
        <v>40179</v>
      </c>
      <c r="B2" s="14">
        <v>132.86713286713299</v>
      </c>
      <c r="C2" s="14">
        <f>SUMPRODUCT($D2:$V2,Population[[AZ | Phoenix]:[WA | Seattle]])/SUM(Population[[AZ | Phoenix]:[WA | Seattle]])</f>
        <v>171.62629381771805</v>
      </c>
      <c r="D2" s="15">
        <v>72.014458556995606</v>
      </c>
      <c r="E2" s="15">
        <v>100.121359223301</v>
      </c>
      <c r="F2" s="15">
        <v>248.65591397849499</v>
      </c>
      <c r="G2" s="15">
        <v>121.830147830199</v>
      </c>
      <c r="H2" s="15">
        <v>204.31399917287001</v>
      </c>
      <c r="I2" s="15">
        <v>243.47258485639699</v>
      </c>
      <c r="J2" s="15">
        <v>312.76068028204799</v>
      </c>
      <c r="K2" s="15">
        <v>237.01340337936699</v>
      </c>
      <c r="L2" s="15">
        <v>130.371221573029</v>
      </c>
      <c r="M2" s="15">
        <v>164.27874738826699</v>
      </c>
      <c r="N2" s="15">
        <v>109.899175068744</v>
      </c>
      <c r="O2" s="15">
        <v>201.66273005449801</v>
      </c>
      <c r="P2" s="15">
        <v>161.31295029144499</v>
      </c>
      <c r="Q2" s="15">
        <v>76.379921448414606</v>
      </c>
      <c r="R2" s="15">
        <v>265.63006154842901</v>
      </c>
      <c r="S2" s="15">
        <v>141.87842551071299</v>
      </c>
      <c r="T2" s="15">
        <v>130.38019451812599</v>
      </c>
      <c r="U2" s="15">
        <v>96.618884219176906</v>
      </c>
      <c r="V2" s="15">
        <v>165.13761467889901</v>
      </c>
      <c r="W2" s="8"/>
      <c r="X2" s="8"/>
    </row>
    <row r="3" spans="1:24" x14ac:dyDescent="0.25">
      <c r="A3" s="5">
        <v>40210</v>
      </c>
      <c r="B3" s="14">
        <v>130.869130869131</v>
      </c>
      <c r="C3" s="14">
        <f>SUMPRODUCT($D3:$V3,Population[[AZ | Phoenix]:[WA | Seattle]])/SUM(Population[[AZ | Phoenix]:[WA | Seattle]])</f>
        <v>170.91567218531728</v>
      </c>
      <c r="D3" s="15">
        <v>72.944344703770199</v>
      </c>
      <c r="E3" s="15">
        <v>99.626872596187297</v>
      </c>
      <c r="F3" s="15">
        <v>243.788819875776</v>
      </c>
      <c r="G3" s="15">
        <v>122.214654512325</v>
      </c>
      <c r="H3" s="15">
        <v>211.86440677966101</v>
      </c>
      <c r="I3" s="15">
        <v>246.026894865526</v>
      </c>
      <c r="J3" s="15">
        <v>311.61250558721599</v>
      </c>
      <c r="K3" s="15">
        <v>238.56209150326799</v>
      </c>
      <c r="L3" s="15">
        <v>133.48271446863001</v>
      </c>
      <c r="M3" s="15">
        <v>164.08295690800199</v>
      </c>
      <c r="N3" s="15">
        <v>109.206922284078</v>
      </c>
      <c r="O3" s="15">
        <v>192.80442804428</v>
      </c>
      <c r="P3" s="15">
        <v>172.07278481012699</v>
      </c>
      <c r="Q3" s="15">
        <v>76.754385964912302</v>
      </c>
      <c r="R3" s="15">
        <v>257.54884547069298</v>
      </c>
      <c r="S3" s="15">
        <v>141.42049025770001</v>
      </c>
      <c r="T3" s="15">
        <v>130.97488522819299</v>
      </c>
      <c r="U3" s="15">
        <v>97.848726330857303</v>
      </c>
      <c r="V3" s="15">
        <v>164.529914529915</v>
      </c>
      <c r="W3" s="8"/>
      <c r="X3" s="8"/>
    </row>
    <row r="4" spans="1:24" x14ac:dyDescent="0.25">
      <c r="A4" s="5">
        <v>40238</v>
      </c>
      <c r="B4" s="14">
        <v>135.47052740434299</v>
      </c>
      <c r="C4" s="14">
        <f>SUMPRODUCT($D4:$V4,Population[[AZ | Phoenix]:[WA | Seattle]])/SUM(Population[[AZ | Phoenix]:[WA | Seattle]])</f>
        <v>177.33929115035198</v>
      </c>
      <c r="D4" s="15">
        <v>75.517450066468598</v>
      </c>
      <c r="E4" s="15">
        <v>102.052631578947</v>
      </c>
      <c r="F4" s="15">
        <v>254.735024869444</v>
      </c>
      <c r="G4" s="15">
        <v>121.511552440291</v>
      </c>
      <c r="H4" s="15">
        <v>221.32637751512601</v>
      </c>
      <c r="I4" s="15">
        <v>264.12494258153401</v>
      </c>
      <c r="J4" s="15">
        <v>337.67185087961298</v>
      </c>
      <c r="K4" s="15">
        <v>245.037220843672</v>
      </c>
      <c r="L4" s="15">
        <v>137.671748541314</v>
      </c>
      <c r="M4" s="15">
        <v>169.075178805093</v>
      </c>
      <c r="N4" s="15">
        <v>117.944535073409</v>
      </c>
      <c r="O4" s="15">
        <v>200.17406440382899</v>
      </c>
      <c r="P4" s="15">
        <v>169.191919191919</v>
      </c>
      <c r="Q4" s="15">
        <v>78.258439254380605</v>
      </c>
      <c r="R4" s="15">
        <v>254.55551642602001</v>
      </c>
      <c r="S4" s="15">
        <v>145.91439688716</v>
      </c>
      <c r="T4" s="15">
        <v>133.14263208244901</v>
      </c>
      <c r="U4" s="15">
        <v>98.039215686274503</v>
      </c>
      <c r="V4" s="15">
        <v>166.48936170212801</v>
      </c>
      <c r="W4" s="8"/>
      <c r="X4" s="8"/>
    </row>
    <row r="5" spans="1:24" x14ac:dyDescent="0.25">
      <c r="A5" s="5">
        <v>40269</v>
      </c>
      <c r="B5" s="14">
        <v>139.78494623655899</v>
      </c>
      <c r="C5" s="14">
        <f>SUMPRODUCT($D5:$V5,Population[[AZ | Phoenix]:[WA | Seattle]])/SUM(Population[[AZ | Phoenix]:[WA | Seattle]])</f>
        <v>180.19419643038154</v>
      </c>
      <c r="D5" s="15">
        <v>75.745983167559302</v>
      </c>
      <c r="E5" s="15">
        <v>102.09430383406701</v>
      </c>
      <c r="F5" s="15">
        <v>255.17898119216801</v>
      </c>
      <c r="G5" s="15">
        <v>124.545926310327</v>
      </c>
      <c r="H5" s="15">
        <v>216.49116107023301</v>
      </c>
      <c r="I5" s="15">
        <v>267.41766630316198</v>
      </c>
      <c r="J5" s="15">
        <v>343.66925064599502</v>
      </c>
      <c r="K5" s="15">
        <v>242.411445536446</v>
      </c>
      <c r="L5" s="15">
        <v>140.41297935103199</v>
      </c>
      <c r="M5" s="15">
        <v>177.65812815317801</v>
      </c>
      <c r="N5" s="15">
        <v>122.321428571429</v>
      </c>
      <c r="O5" s="15">
        <v>208.57870972896399</v>
      </c>
      <c r="P5" s="15">
        <v>172.095881991395</v>
      </c>
      <c r="Q5" s="15">
        <v>79.256965944272494</v>
      </c>
      <c r="R5" s="15">
        <v>258.95765472312701</v>
      </c>
      <c r="S5" s="15">
        <v>150.22521152650501</v>
      </c>
      <c r="T5" s="15">
        <v>136.931696451161</v>
      </c>
      <c r="U5" s="15">
        <v>100.352753967957</v>
      </c>
      <c r="V5" s="15">
        <v>169.16708322417099</v>
      </c>
      <c r="W5" s="8"/>
      <c r="X5" s="8"/>
    </row>
    <row r="6" spans="1:24" x14ac:dyDescent="0.25">
      <c r="A6" s="5">
        <v>40299</v>
      </c>
      <c r="B6" s="14">
        <v>146.18329550209</v>
      </c>
      <c r="C6" s="14">
        <f>SUMPRODUCT($D6:$V6,Population[[AZ | Phoenix]:[WA | Seattle]])/SUM(Population[[AZ | Phoenix]:[WA | Seattle]])</f>
        <v>185.61343317912235</v>
      </c>
      <c r="D6" s="15">
        <v>76.138587510118597</v>
      </c>
      <c r="E6" s="15">
        <v>105.731775180857</v>
      </c>
      <c r="F6" s="15">
        <v>262.15382895922102</v>
      </c>
      <c r="G6" s="15">
        <v>126.478190140582</v>
      </c>
      <c r="H6" s="15">
        <v>220.26431718061701</v>
      </c>
      <c r="I6" s="15">
        <v>291.95670388810998</v>
      </c>
      <c r="J6" s="15">
        <v>367.25292971007201</v>
      </c>
      <c r="K6" s="15">
        <v>248.508946322068</v>
      </c>
      <c r="L6" s="15">
        <v>141.450307995732</v>
      </c>
      <c r="M6" s="15">
        <v>184.452621895124</v>
      </c>
      <c r="N6" s="15">
        <v>126.873177605967</v>
      </c>
      <c r="O6" s="15">
        <v>211.17608836907101</v>
      </c>
      <c r="P6" s="15">
        <v>173.20261437908499</v>
      </c>
      <c r="Q6" s="15">
        <v>79.196078611358402</v>
      </c>
      <c r="R6" s="15">
        <v>261.944591077052</v>
      </c>
      <c r="S6" s="15">
        <v>148.80188567898401</v>
      </c>
      <c r="T6" s="15">
        <v>138.91914872172299</v>
      </c>
      <c r="U6" s="15">
        <v>102.032212547751</v>
      </c>
      <c r="V6" s="15">
        <v>172.97818511290799</v>
      </c>
      <c r="W6" s="8"/>
      <c r="X6" s="8"/>
    </row>
    <row r="7" spans="1:24" x14ac:dyDescent="0.25">
      <c r="A7" s="5">
        <v>40330</v>
      </c>
      <c r="B7" s="14">
        <v>147.24606439920501</v>
      </c>
      <c r="C7" s="14">
        <f>SUMPRODUCT($D7:$V7,Population[[AZ | Phoenix]:[WA | Seattle]])/SUM(Population[[AZ | Phoenix]:[WA | Seattle]])</f>
        <v>185.54045681038417</v>
      </c>
      <c r="D7" s="15">
        <v>75.639019300991094</v>
      </c>
      <c r="E7" s="15">
        <v>105.357927097058</v>
      </c>
      <c r="F7" s="15">
        <v>259.47476659920301</v>
      </c>
      <c r="G7" s="15">
        <v>125.06641969685801</v>
      </c>
      <c r="H7" s="15">
        <v>224.07120743034099</v>
      </c>
      <c r="I7" s="15">
        <v>286.24314859926898</v>
      </c>
      <c r="J7" s="15">
        <v>349.014537690868</v>
      </c>
      <c r="K7" s="15">
        <v>243.788819875776</v>
      </c>
      <c r="L7" s="15">
        <v>140.96700424697801</v>
      </c>
      <c r="M7" s="15">
        <v>185.18518518518499</v>
      </c>
      <c r="N7" s="15">
        <v>131.90457443434701</v>
      </c>
      <c r="O7" s="15">
        <v>219.19278794392201</v>
      </c>
      <c r="P7" s="15">
        <v>175.533026755853</v>
      </c>
      <c r="Q7" s="15">
        <v>79.181209912384602</v>
      </c>
      <c r="R7" s="15">
        <v>265.918162104403</v>
      </c>
      <c r="S7" s="15">
        <v>145.778719701406</v>
      </c>
      <c r="T7" s="15">
        <v>142.50195210827701</v>
      </c>
      <c r="U7" s="15">
        <v>101.815356613235</v>
      </c>
      <c r="V7" s="15">
        <v>167.16642690163599</v>
      </c>
      <c r="W7" s="8"/>
      <c r="X7" s="8"/>
    </row>
    <row r="8" spans="1:24" x14ac:dyDescent="0.25">
      <c r="A8" s="5">
        <v>40360</v>
      </c>
      <c r="B8" s="14">
        <v>145.84547738182999</v>
      </c>
      <c r="C8" s="14">
        <f>SUMPRODUCT($D8:$V8,Population[[AZ | Phoenix]:[WA | Seattle]])/SUM(Population[[AZ | Phoenix]:[WA | Seattle]])</f>
        <v>184.23580728002989</v>
      </c>
      <c r="D8" s="15">
        <v>72.673999139828297</v>
      </c>
      <c r="E8" s="15">
        <v>103.574033552152</v>
      </c>
      <c r="F8" s="15">
        <v>258.87573964497</v>
      </c>
      <c r="G8" s="15">
        <v>123.720136518771</v>
      </c>
      <c r="H8" s="15">
        <v>223.05010679301799</v>
      </c>
      <c r="I8" s="15">
        <v>287.65584115745702</v>
      </c>
      <c r="J8" s="15">
        <v>343.61790759730599</v>
      </c>
      <c r="K8" s="15">
        <v>248.44267726971501</v>
      </c>
      <c r="L8" s="15">
        <v>138.762019230769</v>
      </c>
      <c r="M8" s="15">
        <v>187.09677419354799</v>
      </c>
      <c r="N8" s="15">
        <v>122.80701754386</v>
      </c>
      <c r="O8" s="15">
        <v>218.39716865761301</v>
      </c>
      <c r="P8" s="15">
        <v>173.611111111111</v>
      </c>
      <c r="Q8" s="15">
        <v>77.098800685322701</v>
      </c>
      <c r="R8" s="15">
        <v>274.72457157376999</v>
      </c>
      <c r="S8" s="15">
        <v>146.61342351716999</v>
      </c>
      <c r="T8" s="15">
        <v>137.94997624600501</v>
      </c>
      <c r="U8" s="15">
        <v>104.62633451957301</v>
      </c>
      <c r="V8" s="15">
        <v>170.05813953488399</v>
      </c>
      <c r="W8" s="8"/>
      <c r="X8" s="8"/>
    </row>
    <row r="9" spans="1:24" x14ac:dyDescent="0.25">
      <c r="A9" s="5">
        <v>40391</v>
      </c>
      <c r="B9" s="14">
        <v>142.98724954462699</v>
      </c>
      <c r="C9" s="14">
        <f>SUMPRODUCT($D9:$V9,Population[[AZ | Phoenix]:[WA | Seattle]])/SUM(Population[[AZ | Phoenix]:[WA | Seattle]])</f>
        <v>181.14954585540704</v>
      </c>
      <c r="D9" s="15">
        <v>70.305125704490095</v>
      </c>
      <c r="E9" s="15">
        <v>104.090227875488</v>
      </c>
      <c r="F9" s="15">
        <v>256.12472160356401</v>
      </c>
      <c r="G9" s="15">
        <v>123.27311370882001</v>
      </c>
      <c r="H9" s="15">
        <v>216.81415929203499</v>
      </c>
      <c r="I9" s="15">
        <v>276.38052208835302</v>
      </c>
      <c r="J9" s="15">
        <v>350.93224860794697</v>
      </c>
      <c r="K9" s="15">
        <v>238.42962017235899</v>
      </c>
      <c r="L9" s="15">
        <v>137.850722239335</v>
      </c>
      <c r="M9" s="15">
        <v>182.798573975045</v>
      </c>
      <c r="N9" s="15">
        <v>121.485121485121</v>
      </c>
      <c r="O9" s="15">
        <v>214.20304232804199</v>
      </c>
      <c r="P9" s="15">
        <v>170.96580683863201</v>
      </c>
      <c r="Q9" s="15">
        <v>77.556188667299807</v>
      </c>
      <c r="R9" s="15">
        <v>268.26086956521698</v>
      </c>
      <c r="S9" s="15">
        <v>146.52014652014699</v>
      </c>
      <c r="T9" s="15">
        <v>136.76014214100999</v>
      </c>
      <c r="U9" s="15">
        <v>100.849584255824</v>
      </c>
      <c r="V9" s="15">
        <v>161.68421052631601</v>
      </c>
      <c r="W9" s="8"/>
      <c r="X9" s="8"/>
    </row>
    <row r="10" spans="1:24" x14ac:dyDescent="0.25">
      <c r="A10" s="5">
        <v>40422</v>
      </c>
      <c r="B10" s="14">
        <v>140.056022408964</v>
      </c>
      <c r="C10" s="14">
        <f>SUMPRODUCT($D10:$V10,Population[[AZ | Phoenix]:[WA | Seattle]])/SUM(Population[[AZ | Phoenix]:[WA | Seattle]])</f>
        <v>178.70478981200228</v>
      </c>
      <c r="D10" s="15">
        <v>70.1388888888889</v>
      </c>
      <c r="E10" s="15">
        <v>104.174309122035</v>
      </c>
      <c r="F10" s="15">
        <v>259.12295907082103</v>
      </c>
      <c r="G10" s="15">
        <v>120.384213622066</v>
      </c>
      <c r="H10" s="15">
        <v>218.71434005325199</v>
      </c>
      <c r="I10" s="15">
        <v>275.25940640336501</v>
      </c>
      <c r="J10" s="15">
        <v>340.82436136162499</v>
      </c>
      <c r="K10" s="15">
        <v>244.033946401321</v>
      </c>
      <c r="L10" s="15">
        <v>137.425989404799</v>
      </c>
      <c r="M10" s="15">
        <v>174.11043132456399</v>
      </c>
      <c r="N10" s="15">
        <v>114.24475263903599</v>
      </c>
      <c r="O10" s="15">
        <v>207.482993197279</v>
      </c>
      <c r="P10" s="15">
        <v>169.534412955466</v>
      </c>
      <c r="Q10" s="15">
        <v>78.002840068803707</v>
      </c>
      <c r="R10" s="15">
        <v>258.24175824175802</v>
      </c>
      <c r="S10" s="15">
        <v>139.82876471907201</v>
      </c>
      <c r="T10" s="15">
        <v>133.16582914572899</v>
      </c>
      <c r="U10" s="15">
        <v>100.41124540555199</v>
      </c>
      <c r="V10" s="15">
        <v>161.90476190476201</v>
      </c>
      <c r="W10" s="8"/>
      <c r="X10" s="8"/>
    </row>
    <row r="11" spans="1:24" x14ac:dyDescent="0.25">
      <c r="A11" s="5">
        <v>40452</v>
      </c>
      <c r="B11" s="14">
        <v>138.08621506395099</v>
      </c>
      <c r="C11" s="14">
        <f>SUMPRODUCT($D11:$V11,Population[[AZ | Phoenix]:[WA | Seattle]])/SUM(Population[[AZ | Phoenix]:[WA | Seattle]])</f>
        <v>177.13374076087527</v>
      </c>
      <c r="D11" s="15">
        <v>69.044086991674305</v>
      </c>
      <c r="E11" s="15">
        <v>102.208835341365</v>
      </c>
      <c r="F11" s="15">
        <v>253.55175223514601</v>
      </c>
      <c r="G11" s="15">
        <v>120.737981776288</v>
      </c>
      <c r="H11" s="15">
        <v>216.53005464480901</v>
      </c>
      <c r="I11" s="15">
        <v>274.97731626171998</v>
      </c>
      <c r="J11" s="15">
        <v>334.53925536483501</v>
      </c>
      <c r="K11" s="15">
        <v>240.17357753062501</v>
      </c>
      <c r="L11" s="15">
        <v>136.74459638288499</v>
      </c>
      <c r="M11" s="15">
        <v>176.137726840097</v>
      </c>
      <c r="N11" s="15">
        <v>116.585365853659</v>
      </c>
      <c r="O11" s="15">
        <v>202.59429813566399</v>
      </c>
      <c r="P11" s="15">
        <v>167.250196398356</v>
      </c>
      <c r="Q11" s="15">
        <v>75.709779179810695</v>
      </c>
      <c r="R11" s="15">
        <v>260.81235011990401</v>
      </c>
      <c r="S11" s="15">
        <v>139.662833816583</v>
      </c>
      <c r="T11" s="15">
        <v>133.49400479616301</v>
      </c>
      <c r="U11" s="15">
        <v>99.235960602031199</v>
      </c>
      <c r="V11" s="15">
        <v>158.01279283767099</v>
      </c>
      <c r="W11" s="8"/>
      <c r="X11" s="8"/>
    </row>
    <row r="12" spans="1:24" x14ac:dyDescent="0.25">
      <c r="A12" s="5">
        <v>40483</v>
      </c>
      <c r="B12" s="14">
        <v>135.970889573856</v>
      </c>
      <c r="C12" s="14">
        <f>SUMPRODUCT($D12:$V12,Population[[AZ | Phoenix]:[WA | Seattle]])/SUM(Population[[AZ | Phoenix]:[WA | Seattle]])</f>
        <v>176.38432256755044</v>
      </c>
      <c r="D12" s="15">
        <v>68.965517241379303</v>
      </c>
      <c r="E12" s="15">
        <v>103.046364707142</v>
      </c>
      <c r="F12" s="15">
        <v>252.58011950027199</v>
      </c>
      <c r="G12" s="15">
        <v>119.27710843373499</v>
      </c>
      <c r="H12" s="15">
        <v>218.63047162345501</v>
      </c>
      <c r="I12" s="15">
        <v>273.52029142581898</v>
      </c>
      <c r="J12" s="15">
        <v>331.25</v>
      </c>
      <c r="K12" s="15">
        <v>242.79835390946499</v>
      </c>
      <c r="L12" s="15">
        <v>133.23792705140201</v>
      </c>
      <c r="M12" s="15">
        <v>176.70134743305499</v>
      </c>
      <c r="N12" s="15">
        <v>116.34341253877101</v>
      </c>
      <c r="O12" s="15">
        <v>205.32282628736101</v>
      </c>
      <c r="P12" s="15">
        <v>165.08773948564499</v>
      </c>
      <c r="Q12" s="15">
        <v>74.489679581234896</v>
      </c>
      <c r="R12" s="15">
        <v>256.93311582381699</v>
      </c>
      <c r="S12" s="15">
        <v>139.38848920863299</v>
      </c>
      <c r="T12" s="15">
        <v>130.281690140845</v>
      </c>
      <c r="U12" s="15">
        <v>96.173953608081604</v>
      </c>
      <c r="V12" s="15">
        <v>157.85440613026799</v>
      </c>
      <c r="W12" s="8"/>
      <c r="X12" s="11"/>
    </row>
    <row r="13" spans="1:24" x14ac:dyDescent="0.25">
      <c r="A13" s="5">
        <v>40513</v>
      </c>
      <c r="B13" s="14">
        <v>134.055966332488</v>
      </c>
      <c r="C13" s="14">
        <f>SUMPRODUCT($D13:$V13,Population[[AZ | Phoenix]:[WA | Seattle]])/SUM(Population[[AZ | Phoenix]:[WA | Seattle]])</f>
        <v>172.95315051946454</v>
      </c>
      <c r="D13" s="15">
        <v>65.590200445434306</v>
      </c>
      <c r="E13" s="15">
        <v>102.279411764706</v>
      </c>
      <c r="F13" s="15">
        <v>250.22974276405199</v>
      </c>
      <c r="G13" s="15">
        <v>115.608623679858</v>
      </c>
      <c r="H13" s="15">
        <v>207.67838774294799</v>
      </c>
      <c r="I13" s="15">
        <v>262.27678571428601</v>
      </c>
      <c r="J13" s="15">
        <v>323.11516155758102</v>
      </c>
      <c r="K13" s="15">
        <v>237.61675088041599</v>
      </c>
      <c r="L13" s="15">
        <v>132.69375466012201</v>
      </c>
      <c r="M13" s="15">
        <v>177.39726027397299</v>
      </c>
      <c r="N13" s="15">
        <v>113.421550094518</v>
      </c>
      <c r="O13" s="15">
        <v>199.567440031459</v>
      </c>
      <c r="P13" s="15">
        <v>160.998462195271</v>
      </c>
      <c r="Q13" s="15">
        <v>73.784594230754095</v>
      </c>
      <c r="R13" s="15">
        <v>253.70193880227501</v>
      </c>
      <c r="S13" s="15">
        <v>135.82089552238801</v>
      </c>
      <c r="T13" s="15">
        <v>130.392788151964</v>
      </c>
      <c r="U13" s="15">
        <v>95.550710642301794</v>
      </c>
      <c r="V13" s="15">
        <v>151.51515151515201</v>
      </c>
      <c r="W13" s="8"/>
      <c r="X13" s="11"/>
    </row>
    <row r="14" spans="1:24" x14ac:dyDescent="0.25">
      <c r="A14" s="5">
        <v>40544</v>
      </c>
      <c r="B14" s="14">
        <v>127.30822171966101</v>
      </c>
      <c r="C14" s="14">
        <f>SUMPRODUCT($D14:$V14,Population[[AZ | Phoenix]:[WA | Seattle]])/SUM(Population[[AZ | Phoenix]:[WA | Seattle]])</f>
        <v>166.32615859807322</v>
      </c>
      <c r="D14" s="15">
        <v>63.812347889794097</v>
      </c>
      <c r="E14" s="15">
        <v>99.457321018883505</v>
      </c>
      <c r="F14" s="15">
        <v>242.092457420925</v>
      </c>
      <c r="G14" s="15">
        <v>112.5</v>
      </c>
      <c r="H14" s="15">
        <v>203.37013364323099</v>
      </c>
      <c r="I14" s="15">
        <v>239.179369988232</v>
      </c>
      <c r="J14" s="15">
        <v>301.503930685949</v>
      </c>
      <c r="K14" s="15">
        <v>230.65833733781801</v>
      </c>
      <c r="L14" s="15">
        <v>125.922709509336</v>
      </c>
      <c r="M14" s="15">
        <v>164.0625</v>
      </c>
      <c r="N14" s="15">
        <v>107.234042553191</v>
      </c>
      <c r="O14" s="15">
        <v>198.05771913990401</v>
      </c>
      <c r="P14" s="15">
        <v>156.25</v>
      </c>
      <c r="Q14" s="15">
        <v>71.219819396708104</v>
      </c>
      <c r="R14" s="15">
        <v>256.68073136427603</v>
      </c>
      <c r="S14" s="15">
        <v>133.08723313789</v>
      </c>
      <c r="T14" s="15">
        <v>127.64194193017499</v>
      </c>
      <c r="U14" s="15">
        <v>97.239447102463203</v>
      </c>
      <c r="V14" s="15">
        <v>144.11764705882399</v>
      </c>
      <c r="W14" s="8"/>
      <c r="X14" s="11">
        <f t="shared" ref="X14:X31" si="0">C14/C2-1</f>
        <v>-3.0881836936209939E-2</v>
      </c>
    </row>
    <row r="15" spans="1:24" x14ac:dyDescent="0.25">
      <c r="A15" s="5">
        <v>40575</v>
      </c>
      <c r="B15" s="14">
        <v>124.265138154027</v>
      </c>
      <c r="C15" s="14">
        <f>SUMPRODUCT($D15:$V15,Population[[AZ | Phoenix]:[WA | Seattle]])/SUM(Population[[AZ | Phoenix]:[WA | Seattle]])</f>
        <v>164.61016047621487</v>
      </c>
      <c r="D15" s="15">
        <v>64.487702908622794</v>
      </c>
      <c r="E15" s="15">
        <v>99.750623441396499</v>
      </c>
      <c r="F15" s="15">
        <v>241.485305547096</v>
      </c>
      <c r="G15" s="15">
        <v>110.420979986197</v>
      </c>
      <c r="H15" s="15">
        <v>207.75623268698101</v>
      </c>
      <c r="I15" s="15">
        <v>233.45528994711</v>
      </c>
      <c r="J15" s="15">
        <v>303.92146863844999</v>
      </c>
      <c r="K15" s="15">
        <v>222.740859469763</v>
      </c>
      <c r="L15" s="15">
        <v>128.11378662077701</v>
      </c>
      <c r="M15" s="15">
        <v>162.07532735663</v>
      </c>
      <c r="N15" s="15">
        <v>100.892857142857</v>
      </c>
      <c r="O15" s="15">
        <v>193.10754604872301</v>
      </c>
      <c r="P15" s="15">
        <v>157.32579944729599</v>
      </c>
      <c r="Q15" s="15">
        <v>71.024512884977995</v>
      </c>
      <c r="R15" s="15">
        <v>248.05591689258799</v>
      </c>
      <c r="S15" s="15">
        <v>129.38546287022501</v>
      </c>
      <c r="T15" s="15">
        <v>127.745861131702</v>
      </c>
      <c r="U15" s="15">
        <v>95.342150661299598</v>
      </c>
      <c r="V15" s="15">
        <v>145.084121375672</v>
      </c>
      <c r="W15" s="8"/>
      <c r="X15" s="11">
        <f t="shared" si="0"/>
        <v>-3.6892530851504235E-2</v>
      </c>
    </row>
    <row r="16" spans="1:24" x14ac:dyDescent="0.25">
      <c r="A16" s="5">
        <v>40603</v>
      </c>
      <c r="B16" s="14">
        <v>125.623130608175</v>
      </c>
      <c r="C16" s="14">
        <f>SUMPRODUCT($D16:$V16,Population[[AZ | Phoenix]:[WA | Seattle]])/SUM(Population[[AZ | Phoenix]:[WA | Seattle]])</f>
        <v>168.680358828875</v>
      </c>
      <c r="D16" s="15">
        <v>64.023967975136799</v>
      </c>
      <c r="E16" s="15">
        <v>99.965529127886896</v>
      </c>
      <c r="F16" s="15">
        <v>246.27349733264899</v>
      </c>
      <c r="G16" s="15">
        <v>110.9375</v>
      </c>
      <c r="H16" s="15">
        <v>209.560156003782</v>
      </c>
      <c r="I16" s="15">
        <v>262.01398207511198</v>
      </c>
      <c r="J16" s="15">
        <v>329.95468025831002</v>
      </c>
      <c r="K16" s="15">
        <v>234.50048185030499</v>
      </c>
      <c r="L16" s="15">
        <v>128.283445326817</v>
      </c>
      <c r="M16" s="15">
        <v>169.27491509926901</v>
      </c>
      <c r="N16" s="15">
        <v>102.395209580838</v>
      </c>
      <c r="O16" s="15">
        <v>191.86492709132801</v>
      </c>
      <c r="P16" s="15">
        <v>154.904306220096</v>
      </c>
      <c r="Q16" s="15">
        <v>70.880359054290096</v>
      </c>
      <c r="R16" s="15">
        <v>248.96836313617601</v>
      </c>
      <c r="S16" s="15">
        <v>131.13772455089801</v>
      </c>
      <c r="T16" s="15">
        <v>126.749905410518</v>
      </c>
      <c r="U16" s="15">
        <v>95.360836003452505</v>
      </c>
      <c r="V16" s="15">
        <v>148.04745427582799</v>
      </c>
      <c r="W16" s="8"/>
      <c r="X16" s="11">
        <f t="shared" si="0"/>
        <v>-4.8826925298442458E-2</v>
      </c>
    </row>
    <row r="17" spans="1:24" x14ac:dyDescent="0.25">
      <c r="A17" s="5">
        <v>40634</v>
      </c>
      <c r="B17" s="14">
        <v>129.444896762421</v>
      </c>
      <c r="C17" s="14">
        <f>SUMPRODUCT($D17:$V17,Population[[AZ | Phoenix]:[WA | Seattle]])/SUM(Population[[AZ | Phoenix]:[WA | Seattle]])</f>
        <v>171.56250039190991</v>
      </c>
      <c r="D17" s="15">
        <v>64.392991239048797</v>
      </c>
      <c r="E17" s="15">
        <v>98.522033397071596</v>
      </c>
      <c r="F17" s="15">
        <v>249.39244416096801</v>
      </c>
      <c r="G17" s="15">
        <v>113.481901301242</v>
      </c>
      <c r="H17" s="15">
        <v>208.333333333333</v>
      </c>
      <c r="I17" s="15">
        <v>263.68613138686101</v>
      </c>
      <c r="J17" s="15">
        <v>333.606557377049</v>
      </c>
      <c r="K17" s="15">
        <v>239.08523908523901</v>
      </c>
      <c r="L17" s="15">
        <v>131.57894736842101</v>
      </c>
      <c r="M17" s="15">
        <v>177.04517704517701</v>
      </c>
      <c r="N17" s="15">
        <v>107.167235494881</v>
      </c>
      <c r="O17" s="15">
        <v>200.45337282873001</v>
      </c>
      <c r="P17" s="15">
        <v>159.88517091704099</v>
      </c>
      <c r="Q17" s="15">
        <v>71.030489319423694</v>
      </c>
      <c r="R17" s="15">
        <v>247.32057416267901</v>
      </c>
      <c r="S17" s="15">
        <v>132.55546955624399</v>
      </c>
      <c r="T17" s="15">
        <v>129.020855425946</v>
      </c>
      <c r="U17" s="15">
        <v>97.955706984667799</v>
      </c>
      <c r="V17" s="15">
        <v>149.22752808988801</v>
      </c>
      <c r="W17" s="8"/>
      <c r="X17" s="11">
        <f t="shared" si="0"/>
        <v>-4.7902186693379534E-2</v>
      </c>
    </row>
    <row r="18" spans="1:24" x14ac:dyDescent="0.25">
      <c r="A18" s="5">
        <v>40664</v>
      </c>
      <c r="B18" s="14">
        <v>130.14465568608699</v>
      </c>
      <c r="C18" s="14">
        <f>SUMPRODUCT($D18:$V18,Population[[AZ | Phoenix]:[WA | Seattle]])/SUM(Population[[AZ | Phoenix]:[WA | Seattle]])</f>
        <v>173.67849962791698</v>
      </c>
      <c r="D18" s="15">
        <v>63.807515362951797</v>
      </c>
      <c r="E18" s="15">
        <v>99.598785512903902</v>
      </c>
      <c r="F18" s="15">
        <v>248.05598755832</v>
      </c>
      <c r="G18" s="15">
        <v>111.654610322198</v>
      </c>
      <c r="H18" s="15">
        <v>213.23895957473599</v>
      </c>
      <c r="I18" s="15">
        <v>270.05229656490002</v>
      </c>
      <c r="J18" s="15">
        <v>348.31460674157302</v>
      </c>
      <c r="K18" s="15">
        <v>232.44312561820001</v>
      </c>
      <c r="L18" s="15">
        <v>132.834842199767</v>
      </c>
      <c r="M18" s="15">
        <v>182.35898593082101</v>
      </c>
      <c r="N18" s="15">
        <v>107.943177270908</v>
      </c>
      <c r="O18" s="15">
        <v>208.966565349544</v>
      </c>
      <c r="P18" s="15">
        <v>160.18308347973999</v>
      </c>
      <c r="Q18" s="15">
        <v>70.314872083216201</v>
      </c>
      <c r="R18" s="15">
        <v>253.69003690036899</v>
      </c>
      <c r="S18" s="15">
        <v>134.04580152671801</v>
      </c>
      <c r="T18" s="15">
        <v>131.79557643621499</v>
      </c>
      <c r="U18" s="15">
        <v>98.839137645107797</v>
      </c>
      <c r="V18" s="15">
        <v>149.047207404657</v>
      </c>
      <c r="W18" s="8"/>
      <c r="X18" s="11">
        <f t="shared" si="0"/>
        <v>-6.4299945035162454E-2</v>
      </c>
    </row>
    <row r="19" spans="1:24" x14ac:dyDescent="0.25">
      <c r="A19" s="5">
        <v>40695</v>
      </c>
      <c r="B19" s="14">
        <v>134.298518784685</v>
      </c>
      <c r="C19" s="14">
        <f>SUMPRODUCT($D19:$V19,Population[[AZ | Phoenix]:[WA | Seattle]])/SUM(Population[[AZ | Phoenix]:[WA | Seattle]])</f>
        <v>176.77644821027747</v>
      </c>
      <c r="D19" s="15">
        <v>65.359477124183002</v>
      </c>
      <c r="E19" s="15">
        <v>98.507040908114007</v>
      </c>
      <c r="F19" s="15">
        <v>246.445170660857</v>
      </c>
      <c r="G19" s="15">
        <v>113.46712211784801</v>
      </c>
      <c r="H19" s="15">
        <v>210.397384123432</v>
      </c>
      <c r="I19" s="15">
        <v>280.59990324141302</v>
      </c>
      <c r="J19" s="15">
        <v>343.99762583863901</v>
      </c>
      <c r="K19" s="15">
        <v>234.29122960372999</v>
      </c>
      <c r="L19" s="15">
        <v>135.872853127714</v>
      </c>
      <c r="M19" s="15">
        <v>187.12071058148501</v>
      </c>
      <c r="N19" s="15">
        <v>115.69052783803301</v>
      </c>
      <c r="O19" s="15">
        <v>221.49949091474599</v>
      </c>
      <c r="P19" s="15">
        <v>165.74367088607599</v>
      </c>
      <c r="Q19" s="15">
        <v>69.041336851363198</v>
      </c>
      <c r="R19" s="15">
        <v>262.13248317392799</v>
      </c>
      <c r="S19" s="15">
        <v>132.666666666667</v>
      </c>
      <c r="T19" s="15">
        <v>137.297833155555</v>
      </c>
      <c r="U19" s="15">
        <v>99.4503607007901</v>
      </c>
      <c r="V19" s="15">
        <v>149.35064935064901</v>
      </c>
      <c r="W19" s="8"/>
      <c r="X19" s="11">
        <f t="shared" si="0"/>
        <v>-4.7235027609440539E-2</v>
      </c>
    </row>
    <row r="20" spans="1:24" x14ac:dyDescent="0.25">
      <c r="A20" s="5">
        <v>40725</v>
      </c>
      <c r="B20" s="14">
        <v>135.20971302428299</v>
      </c>
      <c r="C20" s="14">
        <f>SUMPRODUCT($D20:$V20,Population[[AZ | Phoenix]:[WA | Seattle]])/SUM(Population[[AZ | Phoenix]:[WA | Seattle]])</f>
        <v>176.00093558392931</v>
      </c>
      <c r="D20" s="15">
        <v>64.393939393939405</v>
      </c>
      <c r="E20" s="15">
        <v>98.535286284953401</v>
      </c>
      <c r="F20" s="15">
        <v>248.198558847078</v>
      </c>
      <c r="G20" s="15">
        <v>113.366336633663</v>
      </c>
      <c r="H20" s="15">
        <v>208.120692469652</v>
      </c>
      <c r="I20" s="15">
        <v>270.10893404556799</v>
      </c>
      <c r="J20" s="15">
        <v>338.56429017291202</v>
      </c>
      <c r="K20" s="15">
        <v>232.00786906295701</v>
      </c>
      <c r="L20" s="15">
        <v>135.461604831752</v>
      </c>
      <c r="M20" s="15">
        <v>186.173184357542</v>
      </c>
      <c r="N20" s="15">
        <v>117.903930131004</v>
      </c>
      <c r="O20" s="15">
        <v>215.25832719911699</v>
      </c>
      <c r="P20" s="15">
        <v>170.00957854406099</v>
      </c>
      <c r="Q20" s="15">
        <v>68.174963779623795</v>
      </c>
      <c r="R20" s="15">
        <v>262.78685808444999</v>
      </c>
      <c r="S20" s="15">
        <v>135.98122190976801</v>
      </c>
      <c r="T20" s="15">
        <v>134.64127911468501</v>
      </c>
      <c r="U20" s="15">
        <v>99.791323227215699</v>
      </c>
      <c r="V20" s="15">
        <v>149.01222927880701</v>
      </c>
      <c r="W20" s="8"/>
      <c r="X20" s="11">
        <f t="shared" si="0"/>
        <v>-4.4697454950133331E-2</v>
      </c>
    </row>
    <row r="21" spans="1:24" x14ac:dyDescent="0.25">
      <c r="A21" s="5">
        <v>40756</v>
      </c>
      <c r="B21" s="14">
        <v>132.87547046823801</v>
      </c>
      <c r="C21" s="14">
        <f>SUMPRODUCT($D21:$V21,Population[[AZ | Phoenix]:[WA | Seattle]])/SUM(Population[[AZ | Phoenix]:[WA | Seattle]])</f>
        <v>173.19560589180068</v>
      </c>
      <c r="D21" s="15">
        <v>64.549300137878106</v>
      </c>
      <c r="E21" s="15">
        <v>98.308464324461198</v>
      </c>
      <c r="F21" s="15">
        <v>246.20574712643699</v>
      </c>
      <c r="G21" s="15">
        <v>112.179487179487</v>
      </c>
      <c r="H21" s="15">
        <v>204.74383703026899</v>
      </c>
      <c r="I21" s="15">
        <v>261.961682644848</v>
      </c>
      <c r="J21" s="15">
        <v>327.357755261107</v>
      </c>
      <c r="K21" s="15">
        <v>226.266191009962</v>
      </c>
      <c r="L21" s="15">
        <v>133.65384615384599</v>
      </c>
      <c r="M21" s="15">
        <v>182.42491657397099</v>
      </c>
      <c r="N21" s="15">
        <v>114.86042692939201</v>
      </c>
      <c r="O21" s="15">
        <v>209.49720670391099</v>
      </c>
      <c r="P21" s="15">
        <v>164.78342749529199</v>
      </c>
      <c r="Q21" s="15">
        <v>68.165070007369195</v>
      </c>
      <c r="R21" s="15">
        <v>254.03225806451599</v>
      </c>
      <c r="S21" s="15">
        <v>136.06911447084201</v>
      </c>
      <c r="T21" s="15">
        <v>135.50884955752201</v>
      </c>
      <c r="U21" s="15">
        <v>98.004355942750493</v>
      </c>
      <c r="V21" s="15">
        <v>149.92399716125999</v>
      </c>
      <c r="W21" s="8"/>
      <c r="X21" s="11">
        <f t="shared" si="0"/>
        <v>-4.3908141894847263E-2</v>
      </c>
    </row>
    <row r="22" spans="1:24" x14ac:dyDescent="0.25">
      <c r="A22" s="5">
        <v>40787</v>
      </c>
      <c r="B22" s="14">
        <v>131.41980718667801</v>
      </c>
      <c r="C22" s="14">
        <f>SUMPRODUCT($D22:$V22,Population[[AZ | Phoenix]:[WA | Seattle]])/SUM(Population[[AZ | Phoenix]:[WA | Seattle]])</f>
        <v>170.65561768848539</v>
      </c>
      <c r="D22" s="15">
        <v>67.355297353036505</v>
      </c>
      <c r="E22" s="15">
        <v>97.849213691026804</v>
      </c>
      <c r="F22" s="15">
        <v>241.57831598742001</v>
      </c>
      <c r="G22" s="15">
        <v>111.001718869366</v>
      </c>
      <c r="H22" s="15">
        <v>203.43293070565801</v>
      </c>
      <c r="I22" s="15">
        <v>267.53864447086801</v>
      </c>
      <c r="J22" s="15">
        <v>318.18181818181802</v>
      </c>
      <c r="K22" s="15">
        <v>224.71910112359501</v>
      </c>
      <c r="L22" s="15">
        <v>135.61522048364199</v>
      </c>
      <c r="M22" s="15">
        <v>175.20768431983399</v>
      </c>
      <c r="N22" s="15">
        <v>108.573191151846</v>
      </c>
      <c r="O22" s="15">
        <v>205.43615676358999</v>
      </c>
      <c r="P22" s="15">
        <v>159.033078880407</v>
      </c>
      <c r="Q22" s="15">
        <v>67.592319792584703</v>
      </c>
      <c r="R22" s="15">
        <v>260</v>
      </c>
      <c r="S22" s="15">
        <v>133.83951522682199</v>
      </c>
      <c r="T22" s="15">
        <v>133.51159155037001</v>
      </c>
      <c r="U22" s="15">
        <v>96.167247386759598</v>
      </c>
      <c r="V22" s="15">
        <v>144.98546511627899</v>
      </c>
      <c r="W22" s="8"/>
      <c r="X22" s="11">
        <f t="shared" si="0"/>
        <v>-4.5041725697361645E-2</v>
      </c>
    </row>
    <row r="23" spans="1:24" x14ac:dyDescent="0.25">
      <c r="A23" s="5">
        <v>40817</v>
      </c>
      <c r="B23" s="14">
        <v>127.34386242295101</v>
      </c>
      <c r="C23" s="14">
        <f>SUMPRODUCT($D23:$V23,Population[[AZ | Phoenix]:[WA | Seattle]])/SUM(Population[[AZ | Phoenix]:[WA | Seattle]])</f>
        <v>166.25464566524096</v>
      </c>
      <c r="D23" s="15">
        <v>67.234963149524901</v>
      </c>
      <c r="E23" s="15">
        <v>97.857142857142904</v>
      </c>
      <c r="F23" s="15">
        <v>239.42093541202701</v>
      </c>
      <c r="G23" s="15">
        <v>107.668738544904</v>
      </c>
      <c r="H23" s="15">
        <v>200.0777000777</v>
      </c>
      <c r="I23" s="15">
        <v>253.668171557562</v>
      </c>
      <c r="J23" s="15">
        <v>307.756230405743</v>
      </c>
      <c r="K23" s="15">
        <v>223.711882229232</v>
      </c>
      <c r="L23" s="15">
        <v>131.95129469790399</v>
      </c>
      <c r="M23" s="15">
        <v>167.46609553793101</v>
      </c>
      <c r="N23" s="15">
        <v>104.477611940299</v>
      </c>
      <c r="O23" s="15">
        <v>191.333471114399</v>
      </c>
      <c r="P23" s="15">
        <v>158.44544095665199</v>
      </c>
      <c r="Q23" s="15">
        <v>67.482633145881607</v>
      </c>
      <c r="R23" s="15">
        <v>251.008878127522</v>
      </c>
      <c r="S23" s="15">
        <v>132.802124833997</v>
      </c>
      <c r="T23" s="15">
        <v>129.287598944591</v>
      </c>
      <c r="U23" s="15">
        <v>95.734126984127002</v>
      </c>
      <c r="V23" s="15">
        <v>144.268774703557</v>
      </c>
      <c r="W23" s="8"/>
      <c r="X23" s="11">
        <f t="shared" si="0"/>
        <v>-6.1417407259076295E-2</v>
      </c>
    </row>
    <row r="24" spans="1:24" x14ac:dyDescent="0.25">
      <c r="A24" s="5">
        <v>40848</v>
      </c>
      <c r="B24" s="14">
        <v>129.33627171701099</v>
      </c>
      <c r="C24" s="14">
        <f>SUMPRODUCT($D24:$V24,Population[[AZ | Phoenix]:[WA | Seattle]])/SUM(Population[[AZ | Phoenix]:[WA | Seattle]])</f>
        <v>167.37710805476922</v>
      </c>
      <c r="D24" s="15">
        <v>69.671189299782995</v>
      </c>
      <c r="E24" s="15">
        <v>99.059149352254906</v>
      </c>
      <c r="F24" s="15">
        <v>237.717908082409</v>
      </c>
      <c r="G24" s="15">
        <v>109.270572982915</v>
      </c>
      <c r="H24" s="15">
        <v>199.17778514914701</v>
      </c>
      <c r="I24" s="15">
        <v>262.09677419354801</v>
      </c>
      <c r="J24" s="15">
        <v>313.86292834890997</v>
      </c>
      <c r="K24" s="15">
        <v>219.75040694519799</v>
      </c>
      <c r="L24" s="15">
        <v>131.795269484296</v>
      </c>
      <c r="M24" s="15">
        <v>172.19387755101999</v>
      </c>
      <c r="N24" s="15">
        <v>102.657004830918</v>
      </c>
      <c r="O24" s="15">
        <v>202.14902090939299</v>
      </c>
      <c r="P24" s="15">
        <v>156.10199666264799</v>
      </c>
      <c r="Q24" s="15">
        <v>67.533848391656605</v>
      </c>
      <c r="R24" s="15">
        <v>246.03533579052299</v>
      </c>
      <c r="S24" s="15">
        <v>135.047982765374</v>
      </c>
      <c r="T24" s="15">
        <v>130.46044864226701</v>
      </c>
      <c r="U24" s="15">
        <v>97.674418604651194</v>
      </c>
      <c r="V24" s="15">
        <v>142.47279161636101</v>
      </c>
      <c r="W24" s="8"/>
      <c r="X24" s="11">
        <f t="shared" si="0"/>
        <v>-5.1065845204761318E-2</v>
      </c>
    </row>
    <row r="25" spans="1:24" x14ac:dyDescent="0.25">
      <c r="A25" s="5">
        <v>40878</v>
      </c>
      <c r="B25" s="14">
        <v>126.539361307528</v>
      </c>
      <c r="C25" s="14">
        <f>SUMPRODUCT($D25:$V25,Population[[AZ | Phoenix]:[WA | Seattle]])/SUM(Population[[AZ | Phoenix]:[WA | Seattle]])</f>
        <v>164.47139382302916</v>
      </c>
      <c r="D25" s="15">
        <v>70.366431055282007</v>
      </c>
      <c r="E25" s="15">
        <v>97.7248941085236</v>
      </c>
      <c r="F25" s="15">
        <v>235.27955015587199</v>
      </c>
      <c r="G25" s="15">
        <v>108.304946419701</v>
      </c>
      <c r="H25" s="15">
        <v>196.452616212565</v>
      </c>
      <c r="I25" s="15">
        <v>249.61654416842501</v>
      </c>
      <c r="J25" s="15">
        <v>304.944390715667</v>
      </c>
      <c r="K25" s="15">
        <v>216.65728756330901</v>
      </c>
      <c r="L25" s="15">
        <v>129.24151696606799</v>
      </c>
      <c r="M25" s="15">
        <v>170.486308594984</v>
      </c>
      <c r="N25" s="15">
        <v>100.388714916146</v>
      </c>
      <c r="O25" s="15">
        <v>194.35975609756099</v>
      </c>
      <c r="P25" s="15">
        <v>160.25641025640999</v>
      </c>
      <c r="Q25" s="15">
        <v>66.716591082869698</v>
      </c>
      <c r="R25" s="15">
        <v>244.165261471522</v>
      </c>
      <c r="S25" s="15">
        <v>130.72262558869701</v>
      </c>
      <c r="T25" s="15">
        <v>127.06855791962199</v>
      </c>
      <c r="U25" s="15">
        <v>97.513054502951604</v>
      </c>
      <c r="V25" s="15">
        <v>140.34250421111699</v>
      </c>
      <c r="W25" s="8"/>
      <c r="X25" s="11">
        <f t="shared" si="0"/>
        <v>-4.9040775903534839E-2</v>
      </c>
    </row>
    <row r="26" spans="1:24" x14ac:dyDescent="0.25">
      <c r="A26" s="5">
        <v>40909</v>
      </c>
      <c r="B26" s="14">
        <v>121.922626025791</v>
      </c>
      <c r="C26" s="14">
        <f>SUMPRODUCT($D26:$V26,Population[[AZ | Phoenix]:[WA | Seattle]])/SUM(Population[[AZ | Phoenix]:[WA | Seattle]])</f>
        <v>160.87688523032872</v>
      </c>
      <c r="D26" s="15">
        <v>71.054668264409301</v>
      </c>
      <c r="E26" s="15">
        <v>95.750680564750397</v>
      </c>
      <c r="F26" s="15">
        <v>231.55416012558899</v>
      </c>
      <c r="G26" s="15">
        <v>105.75793184488801</v>
      </c>
      <c r="H26" s="15">
        <v>197.28754737659301</v>
      </c>
      <c r="I26" s="15">
        <v>233.388248215266</v>
      </c>
      <c r="J26" s="15">
        <v>291.97080291970798</v>
      </c>
      <c r="K26" s="15">
        <v>218.18074866310201</v>
      </c>
      <c r="L26" s="15">
        <v>130.92269326683299</v>
      </c>
      <c r="M26" s="15">
        <v>165.05561004376801</v>
      </c>
      <c r="N26" s="15">
        <v>97.7777777777778</v>
      </c>
      <c r="O26" s="15">
        <v>193.415637860082</v>
      </c>
      <c r="P26" s="15">
        <v>151.41749526515201</v>
      </c>
      <c r="Q26" s="15">
        <v>65.214827727645599</v>
      </c>
      <c r="R26" s="15">
        <v>244.131455399061</v>
      </c>
      <c r="S26" s="15">
        <v>127.29970505753801</v>
      </c>
      <c r="T26" s="15">
        <v>125.817815802718</v>
      </c>
      <c r="U26" s="15">
        <v>95.519713261648704</v>
      </c>
      <c r="V26" s="15">
        <v>134.245001149161</v>
      </c>
      <c r="W26" s="8"/>
      <c r="X26" s="11">
        <f t="shared" si="0"/>
        <v>-3.2762575734780586E-2</v>
      </c>
    </row>
    <row r="27" spans="1:24" x14ac:dyDescent="0.25">
      <c r="A27" s="5">
        <v>40940</v>
      </c>
      <c r="B27" s="14">
        <v>122.276567363273</v>
      </c>
      <c r="C27" s="14">
        <f>SUMPRODUCT($D27:$V27,Population[[AZ | Phoenix]:[WA | Seattle]])/SUM(Population[[AZ | Phoenix]:[WA | Seattle]])</f>
        <v>160.37804025937277</v>
      </c>
      <c r="D27" s="15">
        <v>72.658240350948901</v>
      </c>
      <c r="E27" s="15">
        <v>99.1142977646563</v>
      </c>
      <c r="F27" s="15">
        <v>232.97491039426501</v>
      </c>
      <c r="G27" s="15">
        <v>106.851037083595</v>
      </c>
      <c r="H27" s="15">
        <v>197.86743707898799</v>
      </c>
      <c r="I27" s="15">
        <v>235.29411764705901</v>
      </c>
      <c r="J27" s="15">
        <v>310.73446327683598</v>
      </c>
      <c r="K27" s="15">
        <v>215.79137198908299</v>
      </c>
      <c r="L27" s="15">
        <v>128.011011699931</v>
      </c>
      <c r="M27" s="15">
        <v>162.96296296296299</v>
      </c>
      <c r="N27" s="15">
        <v>95.335981768908596</v>
      </c>
      <c r="O27" s="15">
        <v>183.00771381689901</v>
      </c>
      <c r="P27" s="15">
        <v>149.452403282897</v>
      </c>
      <c r="Q27" s="15">
        <v>66.412677824209894</v>
      </c>
      <c r="R27" s="15">
        <v>238.800554647154</v>
      </c>
      <c r="S27" s="15">
        <v>126.879435107376</v>
      </c>
      <c r="T27" s="15">
        <v>118.65234375</v>
      </c>
      <c r="U27" s="15">
        <v>99.599724426690003</v>
      </c>
      <c r="V27" s="15">
        <v>137.553643536587</v>
      </c>
      <c r="W27" s="8"/>
      <c r="X27" s="11">
        <f t="shared" si="0"/>
        <v>-2.5709957420603002E-2</v>
      </c>
    </row>
    <row r="28" spans="1:24" x14ac:dyDescent="0.25">
      <c r="A28" s="5">
        <v>40969</v>
      </c>
      <c r="B28" s="14">
        <v>127.695329632579</v>
      </c>
      <c r="C28" s="14">
        <f>SUMPRODUCT($D28:$V28,Population[[AZ | Phoenix]:[WA | Seattle]])/SUM(Population[[AZ | Phoenix]:[WA | Seattle]])</f>
        <v>167.13294887845018</v>
      </c>
      <c r="D28" s="15">
        <v>76.276276276276306</v>
      </c>
      <c r="E28" s="15">
        <v>100.68728522336799</v>
      </c>
      <c r="F28" s="15">
        <v>239.130434782609</v>
      </c>
      <c r="G28" s="15">
        <v>108.82842865075</v>
      </c>
      <c r="H28" s="15">
        <v>201.42041462237299</v>
      </c>
      <c r="I28" s="15">
        <v>261.29317980513702</v>
      </c>
      <c r="J28" s="15">
        <v>335.463276836158</v>
      </c>
      <c r="K28" s="15">
        <v>218.48671215571301</v>
      </c>
      <c r="L28" s="15">
        <v>133.51735195556199</v>
      </c>
      <c r="M28" s="15">
        <v>174.872766084381</v>
      </c>
      <c r="N28" s="15">
        <v>101.0747185261</v>
      </c>
      <c r="O28" s="15">
        <v>191.88484251968501</v>
      </c>
      <c r="P28" s="15">
        <v>156.25</v>
      </c>
      <c r="Q28" s="15">
        <v>67.061477721376207</v>
      </c>
      <c r="R28" s="15">
        <v>238.31423677297701</v>
      </c>
      <c r="S28" s="15">
        <v>128.70058228624001</v>
      </c>
      <c r="T28" s="15">
        <v>123.488559755501</v>
      </c>
      <c r="U28" s="15">
        <v>102.016181503594</v>
      </c>
      <c r="V28" s="15">
        <v>139.53488372093</v>
      </c>
      <c r="W28" s="8"/>
      <c r="X28" s="11">
        <f t="shared" si="0"/>
        <v>-9.1736225910845626E-3</v>
      </c>
    </row>
    <row r="29" spans="1:24" x14ac:dyDescent="0.25">
      <c r="A29" s="5">
        <v>41000</v>
      </c>
      <c r="B29" s="14">
        <v>136.335595311536</v>
      </c>
      <c r="C29" s="14">
        <f>SUMPRODUCT($D29:$V29,Population[[AZ | Phoenix]:[WA | Seattle]])/SUM(Population[[AZ | Phoenix]:[WA | Seattle]])</f>
        <v>172.7882320594085</v>
      </c>
      <c r="D29" s="15">
        <v>79.243798188448693</v>
      </c>
      <c r="E29" s="15">
        <v>101.971447994562</v>
      </c>
      <c r="F29" s="15">
        <v>243.58638567648501</v>
      </c>
      <c r="G29" s="15">
        <v>110.17543859649101</v>
      </c>
      <c r="H29" s="15">
        <v>205.498623432242</v>
      </c>
      <c r="I29" s="15">
        <v>267.67676767676801</v>
      </c>
      <c r="J29" s="15">
        <v>350.12172403315401</v>
      </c>
      <c r="K29" s="15">
        <v>221.64619048042701</v>
      </c>
      <c r="L29" s="15">
        <v>142.23102936927799</v>
      </c>
      <c r="M29" s="15">
        <v>187.10682002199599</v>
      </c>
      <c r="N29" s="15">
        <v>104.859335038363</v>
      </c>
      <c r="O29" s="15">
        <v>197.426814076612</v>
      </c>
      <c r="P29" s="15">
        <v>164.87543655717701</v>
      </c>
      <c r="Q29" s="15">
        <v>68.548387096774206</v>
      </c>
      <c r="R29" s="15">
        <v>247.11388181063799</v>
      </c>
      <c r="S29" s="15">
        <v>133.36335727174699</v>
      </c>
      <c r="T29" s="15">
        <v>129.29007992477699</v>
      </c>
      <c r="U29" s="15">
        <v>102.40496508921601</v>
      </c>
      <c r="V29" s="15">
        <v>149.193548387097</v>
      </c>
      <c r="W29" s="8"/>
      <c r="X29" s="11">
        <f t="shared" si="0"/>
        <v>7.1445197213761968E-3</v>
      </c>
    </row>
    <row r="30" spans="1:24" x14ac:dyDescent="0.25">
      <c r="A30" s="5">
        <v>41030</v>
      </c>
      <c r="B30" s="14">
        <v>141.99810606060601</v>
      </c>
      <c r="C30" s="14">
        <f>SUMPRODUCT($D30:$V30,Population[[AZ | Phoenix]:[WA | Seattle]])/SUM(Population[[AZ | Phoenix]:[WA | Seattle]])</f>
        <v>177.50241678066394</v>
      </c>
      <c r="D30" s="15">
        <v>83.429130406582601</v>
      </c>
      <c r="E30" s="15">
        <v>102.983420593368</v>
      </c>
      <c r="F30" s="15">
        <v>245.951027011527</v>
      </c>
      <c r="G30" s="15">
        <v>112.02440813160899</v>
      </c>
      <c r="H30" s="15">
        <v>211.05141980046</v>
      </c>
      <c r="I30" s="15">
        <v>286.90714416267701</v>
      </c>
      <c r="J30" s="15">
        <v>356.24581256526898</v>
      </c>
      <c r="K30" s="15">
        <v>223.75418518423399</v>
      </c>
      <c r="L30" s="15">
        <v>144.35695538057701</v>
      </c>
      <c r="M30" s="15">
        <v>193.901484160313</v>
      </c>
      <c r="N30" s="15">
        <v>110.426043324137</v>
      </c>
      <c r="O30" s="15">
        <v>208.333333333333</v>
      </c>
      <c r="P30" s="15">
        <v>169.20732349841899</v>
      </c>
      <c r="Q30" s="15">
        <v>69.767441860465098</v>
      </c>
      <c r="R30" s="15">
        <v>245.398773006135</v>
      </c>
      <c r="S30" s="15">
        <v>138.26738433063301</v>
      </c>
      <c r="T30" s="15">
        <v>131.37867609604501</v>
      </c>
      <c r="U30" s="15">
        <v>106.434782608696</v>
      </c>
      <c r="V30" s="15">
        <v>151.51515151515201</v>
      </c>
      <c r="W30" s="8"/>
      <c r="X30" s="11">
        <f t="shared" si="0"/>
        <v>2.2017216644197202E-2</v>
      </c>
    </row>
    <row r="31" spans="1:24" x14ac:dyDescent="0.25">
      <c r="A31" s="5">
        <v>41061</v>
      </c>
      <c r="C31" s="14">
        <f>SUMPRODUCT($D31:$V31,Population[[AZ | Phoenix]:[WA | Seattle]])/SUM(Population[[AZ | Phoenix]:[WA | Seattle]])</f>
        <v>181.80837294320276</v>
      </c>
      <c r="D31" s="15">
        <v>84.643288996372405</v>
      </c>
      <c r="E31" s="15">
        <v>103.032037605592</v>
      </c>
      <c r="F31" s="15">
        <v>249.671484888305</v>
      </c>
      <c r="G31" s="15">
        <v>115.32125205930799</v>
      </c>
      <c r="H31" s="15">
        <v>211.68510765550201</v>
      </c>
      <c r="I31" s="15">
        <v>293.356341673857</v>
      </c>
      <c r="J31" s="15">
        <v>364.47001141674798</v>
      </c>
      <c r="K31" s="15">
        <v>228.413355671304</v>
      </c>
      <c r="L31" s="15">
        <v>147.31130833814601</v>
      </c>
      <c r="M31" s="15">
        <v>199.02478055582</v>
      </c>
      <c r="N31" s="15">
        <v>116.54779124478399</v>
      </c>
      <c r="O31" s="15">
        <v>219.75029947383601</v>
      </c>
      <c r="P31" s="15">
        <v>170.50739957716701</v>
      </c>
      <c r="Q31" s="15">
        <v>71.470075537478195</v>
      </c>
      <c r="R31" s="15">
        <v>249.82256919801301</v>
      </c>
      <c r="S31" s="15">
        <v>138.13142601698701</v>
      </c>
      <c r="T31" s="15">
        <v>138.08318638060001</v>
      </c>
      <c r="U31" s="15">
        <v>106.212101705826</v>
      </c>
      <c r="V31" s="15">
        <v>157.845538288618</v>
      </c>
      <c r="W31" s="8"/>
      <c r="X31" s="11">
        <f t="shared" si="0"/>
        <v>2.8464904594868612E-2</v>
      </c>
    </row>
    <row r="32" spans="1:24" x14ac:dyDescent="0.25">
      <c r="A32" s="5">
        <v>41091</v>
      </c>
      <c r="C32" s="24">
        <f>SUMPRODUCT($D32:$V32,Population[[AZ | Phoenix]:[WA | Seattle]])/SUM(Population[[AZ | Phoenix]:[WA | Seattle]])</f>
        <v>181.52836639616723</v>
      </c>
      <c r="D32" s="15">
        <v>83.412634523450805</v>
      </c>
      <c r="E32" s="15">
        <v>104.57516339869299</v>
      </c>
      <c r="F32" s="15">
        <v>252.927812376182</v>
      </c>
      <c r="G32" s="15">
        <v>117.74969840260999</v>
      </c>
      <c r="H32" s="15">
        <v>215.70818830930699</v>
      </c>
      <c r="I32" s="15">
        <v>288.44706667287301</v>
      </c>
      <c r="J32" s="15">
        <v>380.33566885311097</v>
      </c>
      <c r="K32" s="15">
        <v>226.95035460992901</v>
      </c>
      <c r="L32" s="15">
        <v>146.47271240029701</v>
      </c>
      <c r="M32" s="15">
        <v>193.657410785959</v>
      </c>
      <c r="N32" s="15">
        <v>114.193154488609</v>
      </c>
      <c r="O32" s="15">
        <v>214.98922413793099</v>
      </c>
      <c r="P32" s="15">
        <v>169.89646933899701</v>
      </c>
      <c r="Q32" s="15">
        <v>72.700296735904999</v>
      </c>
      <c r="R32" s="15">
        <v>248.75621890547299</v>
      </c>
      <c r="S32" s="15">
        <v>141.17647058823499</v>
      </c>
      <c r="T32" s="15">
        <v>134.58559256390399</v>
      </c>
      <c r="U32" s="15">
        <v>103.708359522313</v>
      </c>
      <c r="V32" s="15">
        <v>158.24308907415499</v>
      </c>
      <c r="X32" s="11">
        <f>C32/C20-1</f>
        <v>3.1405689940790404E-2</v>
      </c>
    </row>
    <row r="33" spans="1:22" x14ac:dyDescent="0.25">
      <c r="A33" s="5">
        <v>41122</v>
      </c>
      <c r="C33" s="24">
        <f>SUMPRODUCT($D33:$V33,Population[[AZ | Phoenix]:[WA | Seattle]])/SUM(Population[[AZ | Phoenix]:[WA | Seattle]])</f>
        <v>181.47747734328618</v>
      </c>
      <c r="D33" s="15">
        <v>84.415584415584405</v>
      </c>
      <c r="E33" s="15">
        <v>105.51948051948099</v>
      </c>
      <c r="F33" s="15">
        <v>255.69479036944799</v>
      </c>
      <c r="G33" s="15">
        <v>120.244897959184</v>
      </c>
      <c r="H33" s="15">
        <v>214.995461737076</v>
      </c>
      <c r="I33" s="15">
        <v>289.001122334456</v>
      </c>
      <c r="J33" s="15">
        <v>379.378492571896</v>
      </c>
      <c r="K33" s="15">
        <v>231.83925811437399</v>
      </c>
      <c r="L33" s="15">
        <v>147.58389261745</v>
      </c>
      <c r="M33" s="15">
        <v>188.63318720154101</v>
      </c>
      <c r="N33" s="15">
        <v>109.358780276817</v>
      </c>
      <c r="O33" s="15">
        <v>212.66987826861299</v>
      </c>
      <c r="P33" s="15">
        <v>166.645139068286</v>
      </c>
      <c r="Q33" s="15">
        <v>73.873423718205302</v>
      </c>
      <c r="R33" s="15">
        <v>256.92866931727701</v>
      </c>
      <c r="S33" s="15">
        <v>142.96814296814301</v>
      </c>
      <c r="T33" s="15">
        <v>133.724858558563</v>
      </c>
      <c r="U33" s="15">
        <v>103.595368677636</v>
      </c>
      <c r="V33" s="15">
        <v>158.894726802962</v>
      </c>
    </row>
    <row r="34" spans="1:22" s="11" customFormat="1" x14ac:dyDescent="0.25">
      <c r="A34" s="5">
        <v>41153</v>
      </c>
      <c r="B34" s="14"/>
      <c r="C34" s="24">
        <f>SUMPRODUCT($D34:$V34,Population[[AZ | Phoenix]:[WA | Seattle]])/SUM(Population[[AZ | Phoenix]:[WA | Seattle]])</f>
        <v>179.5118490934087</v>
      </c>
      <c r="D34" s="15">
        <v>88.757396449704103</v>
      </c>
      <c r="E34" s="15">
        <v>106.78724794583999</v>
      </c>
      <c r="F34" s="15">
        <v>258.41225363918397</v>
      </c>
      <c r="G34" s="15">
        <v>120.967741935484</v>
      </c>
      <c r="H34" s="15">
        <v>218.600953895072</v>
      </c>
      <c r="I34" s="15">
        <v>284.86163863266398</v>
      </c>
      <c r="J34" s="15">
        <v>364.84555045226602</v>
      </c>
      <c r="K34" s="15">
        <v>227.969348659004</v>
      </c>
      <c r="L34" s="15">
        <v>147.5932418342</v>
      </c>
      <c r="M34" s="15">
        <v>182.02877166405401</v>
      </c>
      <c r="N34" s="15">
        <v>106.06060606060601</v>
      </c>
      <c r="O34" s="15">
        <v>201.40372291730199</v>
      </c>
      <c r="P34" s="15">
        <v>162.85902405088399</v>
      </c>
      <c r="Q34" s="15">
        <v>74.857607811228604</v>
      </c>
      <c r="R34" s="15">
        <v>255.275634381358</v>
      </c>
      <c r="S34" s="15">
        <v>142.59522796980801</v>
      </c>
      <c r="T34" s="15">
        <v>127.68833021855001</v>
      </c>
      <c r="U34" s="15">
        <v>101.76701570680601</v>
      </c>
      <c r="V34" s="15">
        <v>156.25</v>
      </c>
    </row>
    <row r="35" spans="1:22" s="11" customFormat="1" x14ac:dyDescent="0.25">
      <c r="A35" s="5">
        <v>41183</v>
      </c>
      <c r="B35" s="14"/>
      <c r="C35" s="24">
        <f>SUMPRODUCT($D35:$V35,Population[[AZ | Phoenix]:[WA | Seattle]])/SUM(Population[[AZ | Phoenix]:[WA | Seattle]])</f>
        <v>180.22942306121982</v>
      </c>
      <c r="D35" s="15">
        <v>89.977220956719805</v>
      </c>
      <c r="E35" s="15">
        <v>107.59068934941</v>
      </c>
      <c r="F35" s="15">
        <v>257.90197639904397</v>
      </c>
      <c r="G35" s="15">
        <v>121.94012294991001</v>
      </c>
      <c r="H35" s="15">
        <v>219.13415285943299</v>
      </c>
      <c r="I35" s="15">
        <v>293.28314839224299</v>
      </c>
      <c r="J35" s="15">
        <v>377.90697674418601</v>
      </c>
      <c r="K35" s="15">
        <v>234.155732017644</v>
      </c>
      <c r="L35" s="15">
        <v>148.50148621773599</v>
      </c>
      <c r="M35" s="15">
        <v>179.07337045528999</v>
      </c>
      <c r="N35" s="15">
        <v>104.640102638215</v>
      </c>
      <c r="O35" s="15">
        <v>203.61702268188299</v>
      </c>
      <c r="P35" s="15">
        <v>163.58024691358</v>
      </c>
      <c r="Q35" s="15">
        <v>75.833429593397497</v>
      </c>
      <c r="R35" s="15">
        <v>247.61904761904799</v>
      </c>
      <c r="S35" s="15">
        <v>143.16012725344601</v>
      </c>
      <c r="T35" s="15">
        <v>129.111356932153</v>
      </c>
      <c r="U35" s="15">
        <v>101.735487731897</v>
      </c>
      <c r="V35" s="15">
        <v>158.24175824175799</v>
      </c>
    </row>
    <row r="36" spans="1:22" x14ac:dyDescent="0.25">
      <c r="A36" s="5">
        <v>41214</v>
      </c>
      <c r="C36" s="14">
        <f>SUMPRODUCT($D36:$V36,Population[[AZ | Phoenix]:[WA | Seattle]])/SUM(Population[[AZ | Phoenix]:[WA | Seattle]])</f>
        <v>183.66727284621453</v>
      </c>
      <c r="D36" s="15">
        <v>93.098418492670007</v>
      </c>
      <c r="E36" s="15">
        <v>112.467866323907</v>
      </c>
      <c r="F36" s="15">
        <v>266.81508153732199</v>
      </c>
      <c r="G36" s="15">
        <v>128.64509097880401</v>
      </c>
      <c r="H36" s="15">
        <v>220.73383808969101</v>
      </c>
      <c r="I36" s="15">
        <v>297.34928064024501</v>
      </c>
      <c r="J36" s="15">
        <v>380.83971385769797</v>
      </c>
      <c r="K36" s="15">
        <v>236.10705006373701</v>
      </c>
      <c r="L36" s="15">
        <v>148.26590015908499</v>
      </c>
      <c r="M36" s="15">
        <v>186.43628005310001</v>
      </c>
      <c r="N36" s="15">
        <v>105.84250635055</v>
      </c>
      <c r="O36" s="15">
        <v>206.333333333333</v>
      </c>
      <c r="P36" s="15">
        <v>163.61186927006801</v>
      </c>
      <c r="Q36" s="15">
        <v>77.9510022271715</v>
      </c>
      <c r="R36" s="15">
        <v>246.12579762990001</v>
      </c>
      <c r="S36" s="15">
        <v>142.675967025999</v>
      </c>
      <c r="T36" s="15">
        <v>129.90998363338801</v>
      </c>
      <c r="U36" s="15">
        <v>101.317122593718</v>
      </c>
      <c r="V36" s="15">
        <v>157.49882463563699</v>
      </c>
    </row>
    <row r="37" spans="1:22" x14ac:dyDescent="0.25">
      <c r="A37" s="5">
        <v>41244</v>
      </c>
      <c r="C37" s="64">
        <f>SUMPRODUCT($D37:$V37,Population[[AZ | Phoenix]:[WA | Seattle]])/SUM(Population[[AZ | Phoenix]:[WA | Seattle]])</f>
        <v>181.81324164433082</v>
      </c>
      <c r="D37" s="15">
        <v>91.288471570161704</v>
      </c>
      <c r="E37" s="15">
        <v>111.947036216534</v>
      </c>
      <c r="F37" s="15">
        <v>264.66049382716102</v>
      </c>
      <c r="G37" s="15">
        <v>133.60837829260601</v>
      </c>
      <c r="H37" s="15">
        <v>222.12350066637001</v>
      </c>
      <c r="I37" s="15">
        <v>294.73684210526301</v>
      </c>
      <c r="J37" s="15">
        <v>372.67944922610201</v>
      </c>
      <c r="K37" s="15">
        <v>235.66308243727599</v>
      </c>
      <c r="L37" s="15">
        <v>144.51648244817801</v>
      </c>
      <c r="M37" s="15">
        <v>182.31443117502101</v>
      </c>
      <c r="N37" s="15">
        <v>101.37457044673501</v>
      </c>
      <c r="O37" s="15">
        <v>204.00429979850301</v>
      </c>
      <c r="P37" s="15">
        <v>159.313840339915</v>
      </c>
      <c r="Q37" s="15">
        <v>79.505420054200499</v>
      </c>
      <c r="R37" s="15">
        <v>250.90779555065299</v>
      </c>
      <c r="S37" s="15">
        <v>141.89720629135101</v>
      </c>
      <c r="T37" s="15">
        <v>126.227208976157</v>
      </c>
      <c r="U37" s="15">
        <v>105.95992426633001</v>
      </c>
      <c r="V37" s="15">
        <v>157.09237097980599</v>
      </c>
    </row>
    <row r="38" spans="1:22" x14ac:dyDescent="0.25">
      <c r="A38" s="5">
        <v>41275</v>
      </c>
      <c r="C38" s="64">
        <f>SUMPRODUCT($D38:$V38,Population[[AZ | Phoenix]:[WA | Seattle]])/SUM(Population[[AZ | Phoenix]:[WA | Seattle]])</f>
        <v>177.34392548928309</v>
      </c>
      <c r="D38" s="15">
        <v>93.181892623704698</v>
      </c>
      <c r="E38" s="15">
        <v>112.359550561798</v>
      </c>
      <c r="F38" s="15">
        <v>260.71428571428601</v>
      </c>
      <c r="G38" s="15">
        <v>127.68647281921599</v>
      </c>
      <c r="H38" s="15">
        <v>222.222222222222</v>
      </c>
      <c r="I38" s="15">
        <v>271.86493558776198</v>
      </c>
      <c r="J38" s="15">
        <v>348.48484848484799</v>
      </c>
      <c r="K38" s="15">
        <v>239.13096724238699</v>
      </c>
      <c r="L38" s="15">
        <v>142.89495575890501</v>
      </c>
      <c r="M38" s="15">
        <v>176.67389460957801</v>
      </c>
      <c r="N38" s="15">
        <v>99.162591914829306</v>
      </c>
      <c r="O38" s="15">
        <v>195.507487520799</v>
      </c>
      <c r="P38" s="15">
        <v>161.16045919692499</v>
      </c>
      <c r="Q38" s="15">
        <v>81.790123456790099</v>
      </c>
      <c r="R38" s="15">
        <v>243.89091153114001</v>
      </c>
      <c r="S38" s="15">
        <v>143.183023872679</v>
      </c>
      <c r="T38" s="15">
        <v>124.23312883435599</v>
      </c>
      <c r="U38" s="15">
        <v>103.503987841455</v>
      </c>
      <c r="V38" s="15">
        <v>149.99700000000001</v>
      </c>
    </row>
    <row r="39" spans="1:22" x14ac:dyDescent="0.25">
      <c r="A39" s="5">
        <v>41306</v>
      </c>
      <c r="C39" s="14">
        <f>SUMPRODUCT($D39:$V39,Population[[AZ | Phoenix]:[WA | Seattle]])/SUM(Population[[AZ | Phoenix]:[WA | Seattle]])</f>
        <v>181.10703108271213</v>
      </c>
      <c r="D39" s="15">
        <v>94.740912606341794</v>
      </c>
      <c r="E39" s="15">
        <v>115.43062200956901</v>
      </c>
      <c r="F39" s="15">
        <v>272.48850952068301</v>
      </c>
      <c r="G39" s="15">
        <v>134.48275862068999</v>
      </c>
      <c r="H39" s="15">
        <v>228.48390859105601</v>
      </c>
      <c r="I39" s="15">
        <v>278.343949044586</v>
      </c>
      <c r="J39" s="15">
        <v>374.46120689655203</v>
      </c>
      <c r="K39" s="15">
        <v>241.76096989440899</v>
      </c>
      <c r="L39" s="15">
        <v>149.50799655238501</v>
      </c>
      <c r="M39" s="15">
        <v>180.21472392638</v>
      </c>
      <c r="N39" s="15">
        <v>99.828864803194506</v>
      </c>
      <c r="O39" s="15">
        <v>191.780821917808</v>
      </c>
      <c r="P39" s="15">
        <v>154.716652562543</v>
      </c>
      <c r="Q39" s="15">
        <v>82.111251580278093</v>
      </c>
      <c r="R39" s="15">
        <v>247.19101123595499</v>
      </c>
      <c r="S39" s="15">
        <v>141.103796001728</v>
      </c>
      <c r="T39" s="15">
        <v>119.885982562039</v>
      </c>
      <c r="U39" s="15">
        <v>104.585569082945</v>
      </c>
      <c r="V39" s="15">
        <v>150.64793281653701</v>
      </c>
    </row>
    <row r="40" spans="1:22" x14ac:dyDescent="0.25">
      <c r="A40" s="5">
        <v>41334</v>
      </c>
      <c r="C40" s="14">
        <f>SUMPRODUCT($D40:$V40,Population[[AZ | Phoenix]:[WA | Seattle]])/SUM(Population[[AZ | Phoenix]:[WA | Seattle]])</f>
        <v>191.36783482661303</v>
      </c>
      <c r="D40" s="15">
        <v>98.293113596233098</v>
      </c>
      <c r="E40" s="15">
        <v>121.23745819398</v>
      </c>
      <c r="F40" s="15">
        <v>280.91660991941899</v>
      </c>
      <c r="G40" s="15">
        <v>138.852700774379</v>
      </c>
      <c r="H40" s="15">
        <v>238.12678433413799</v>
      </c>
      <c r="I40" s="15">
        <v>324.90272373540898</v>
      </c>
      <c r="J40" s="15">
        <v>414.971164543741</v>
      </c>
      <c r="K40" s="15">
        <v>258.97855681933902</v>
      </c>
      <c r="L40" s="15">
        <v>156.25</v>
      </c>
      <c r="M40" s="15">
        <v>189.847009735744</v>
      </c>
      <c r="N40" s="15">
        <v>105.83941605839399</v>
      </c>
      <c r="O40" s="15">
        <v>199.468085106383</v>
      </c>
      <c r="P40" s="15">
        <v>164.55504115226299</v>
      </c>
      <c r="Q40" s="15">
        <v>86.870026525198895</v>
      </c>
      <c r="R40" s="15">
        <v>248.660350051454</v>
      </c>
      <c r="S40" s="15">
        <v>148.48561884328501</v>
      </c>
      <c r="T40" s="15">
        <v>129.32719953996599</v>
      </c>
      <c r="U40" s="15">
        <v>108.01656003010901</v>
      </c>
      <c r="V40" s="15">
        <v>155.51020408163299</v>
      </c>
    </row>
    <row r="41" spans="1:22" x14ac:dyDescent="0.25">
      <c r="A41" s="5">
        <v>41365</v>
      </c>
      <c r="C41" s="65">
        <f>SUMPRODUCT($D41:$V41,Population[[AZ | Phoenix]:[WA | Seattle]])/SUM(Population[[AZ | Phoenix]:[WA | Seattle]])</f>
        <v>199.89730975363611</v>
      </c>
      <c r="D41" s="15">
        <v>101.763907734057</v>
      </c>
      <c r="E41" s="15">
        <v>124.416796267496</v>
      </c>
      <c r="F41" s="15">
        <v>293.15190857917298</v>
      </c>
      <c r="G41" s="15">
        <v>147.31578947368399</v>
      </c>
      <c r="H41" s="15">
        <v>243.17508506394501</v>
      </c>
      <c r="I41" s="15">
        <v>352.60998324186698</v>
      </c>
      <c r="J41" s="15">
        <v>434.304486505179</v>
      </c>
      <c r="K41" s="15">
        <v>258.65895204887897</v>
      </c>
      <c r="L41" s="15">
        <v>161.87433439829601</v>
      </c>
      <c r="M41" s="15">
        <v>200.953921759439</v>
      </c>
      <c r="N41" s="15">
        <v>111.890229748514</v>
      </c>
      <c r="O41" s="15">
        <v>210.08893748234999</v>
      </c>
      <c r="P41" s="15">
        <v>165.44564906254499</v>
      </c>
      <c r="Q41" s="15">
        <v>90.2777777777778</v>
      </c>
      <c r="R41" s="15">
        <v>257.46966797737502</v>
      </c>
      <c r="S41" s="15">
        <v>153.94578313253001</v>
      </c>
      <c r="T41" s="15">
        <v>131.328546504793</v>
      </c>
      <c r="U41" s="15">
        <v>111.396743787489</v>
      </c>
      <c r="V41" s="15">
        <v>162.744186046512</v>
      </c>
    </row>
    <row r="42" spans="1:22" x14ac:dyDescent="0.25">
      <c r="A42" s="5">
        <v>41395</v>
      </c>
      <c r="C42" s="67">
        <f>SUMPRODUCT($D42:$V42,Population[[AZ | Phoenix]:[WA | Seattle]])/SUM(Population[[AZ | Phoenix]:[WA | Seattle]])</f>
        <v>208.4227762165448</v>
      </c>
      <c r="D42" s="15">
        <v>102.12523583316499</v>
      </c>
      <c r="E42" s="15">
        <v>129.126925898753</v>
      </c>
      <c r="F42" s="15">
        <v>300.54945054945102</v>
      </c>
      <c r="G42" s="15">
        <v>155.769230769231</v>
      </c>
      <c r="H42" s="15">
        <v>250.74882327770601</v>
      </c>
      <c r="I42" s="15">
        <v>386.44184432117601</v>
      </c>
      <c r="J42" s="15">
        <v>451.060662448828</v>
      </c>
      <c r="K42" s="15">
        <v>269.61194029850702</v>
      </c>
      <c r="L42" s="15">
        <v>166.169408626056</v>
      </c>
      <c r="M42" s="15">
        <v>210.75137446548601</v>
      </c>
      <c r="N42" s="15">
        <v>120</v>
      </c>
      <c r="O42" s="15">
        <v>220.17973856209201</v>
      </c>
      <c r="P42" s="15">
        <v>174.650169180478</v>
      </c>
      <c r="Q42" s="15">
        <v>92.4308588064047</v>
      </c>
      <c r="R42" s="15">
        <v>263.45933562428399</v>
      </c>
      <c r="S42" s="15">
        <v>158.32545683679899</v>
      </c>
      <c r="T42" s="15">
        <v>136.842462661876</v>
      </c>
      <c r="U42" s="15">
        <v>110.92254134029599</v>
      </c>
      <c r="V42" s="15">
        <v>171.013501295883</v>
      </c>
    </row>
    <row r="43" spans="1:22" x14ac:dyDescent="0.25">
      <c r="A43" s="10" t="s">
        <v>21</v>
      </c>
      <c r="B43" s="10">
        <f>B30/B18-1</f>
        <v>9.1079040564753688E-2</v>
      </c>
      <c r="C43" s="10">
        <f>C42/C30-1</f>
        <v>0.17419683628357863</v>
      </c>
      <c r="D43" s="16">
        <f t="shared" ref="D43:V43" si="1">D42/D30-1</f>
        <v>0.22409565262719378</v>
      </c>
      <c r="E43" s="16">
        <f t="shared" si="1"/>
        <v>0.25386130267136053</v>
      </c>
      <c r="F43" s="16">
        <f t="shared" si="1"/>
        <v>0.22198900407667388</v>
      </c>
      <c r="G43" s="16">
        <f t="shared" si="1"/>
        <v>0.39049367336294716</v>
      </c>
      <c r="H43" s="16">
        <f t="shared" si="1"/>
        <v>0.18809351538491526</v>
      </c>
      <c r="I43" s="16">
        <f t="shared" si="1"/>
        <v>0.34692304525558471</v>
      </c>
      <c r="J43" s="16">
        <f t="shared" si="1"/>
        <v>0.26615007542351865</v>
      </c>
      <c r="K43" s="16">
        <f t="shared" si="1"/>
        <v>0.20494702736628057</v>
      </c>
      <c r="L43" s="16">
        <f t="shared" si="1"/>
        <v>0.15110081248231855</v>
      </c>
      <c r="M43" s="16">
        <f t="shared" si="1"/>
        <v>8.6899233278905363E-2</v>
      </c>
      <c r="N43" s="16">
        <f t="shared" si="1"/>
        <v>8.6700169522150317E-2</v>
      </c>
      <c r="O43" s="16">
        <f t="shared" si="1"/>
        <v>5.6862745098043233E-2</v>
      </c>
      <c r="P43" s="16">
        <f t="shared" si="1"/>
        <v>3.2166726413055402E-2</v>
      </c>
      <c r="Q43" s="16">
        <f t="shared" si="1"/>
        <v>0.32484230955846782</v>
      </c>
      <c r="R43" s="16">
        <f t="shared" si="1"/>
        <v>7.3596792668957134E-2</v>
      </c>
      <c r="S43" s="16">
        <f t="shared" si="1"/>
        <v>0.14506727384241214</v>
      </c>
      <c r="T43" s="16">
        <f t="shared" si="1"/>
        <v>4.1588077519038702E-2</v>
      </c>
      <c r="U43" s="16">
        <f t="shared" si="1"/>
        <v>4.2164399847548939E-2</v>
      </c>
      <c r="V43" s="16">
        <f t="shared" si="1"/>
        <v>0.12868910855282412</v>
      </c>
    </row>
    <row r="44" spans="1:22" x14ac:dyDescent="0.25">
      <c r="A44" s="10" t="s">
        <v>22</v>
      </c>
      <c r="B44" s="10">
        <f>B30/B29-1</f>
        <v>4.1533619566708202E-2</v>
      </c>
      <c r="C44" s="10">
        <f>C42/C41-1</f>
        <v>4.2649230614538736E-2</v>
      </c>
      <c r="D44" s="16">
        <f t="shared" ref="D44:V44" si="2">D42/D41-1</f>
        <v>3.5506507872344883E-3</v>
      </c>
      <c r="E44" s="16">
        <f t="shared" si="2"/>
        <v>3.7857666911228272E-2</v>
      </c>
      <c r="F44" s="16">
        <f t="shared" si="2"/>
        <v>2.5234500454497821E-2</v>
      </c>
      <c r="G44" s="16">
        <f t="shared" si="2"/>
        <v>5.7383131338118343E-2</v>
      </c>
      <c r="H44" s="16">
        <f t="shared" si="2"/>
        <v>3.1145206392215075E-2</v>
      </c>
      <c r="I44" s="16">
        <f t="shared" si="2"/>
        <v>9.5946974524832473E-2</v>
      </c>
      <c r="J44" s="16">
        <f t="shared" si="2"/>
        <v>3.8581632159697232E-2</v>
      </c>
      <c r="K44" s="16">
        <f t="shared" si="2"/>
        <v>4.2345289667601538E-2</v>
      </c>
      <c r="L44" s="16">
        <f t="shared" si="2"/>
        <v>2.6533386183333008E-2</v>
      </c>
      <c r="M44" s="16">
        <f t="shared" si="2"/>
        <v>4.8754722576529241E-2</v>
      </c>
      <c r="N44" s="16">
        <f t="shared" si="2"/>
        <v>7.2479699699550482E-2</v>
      </c>
      <c r="O44" s="16">
        <f t="shared" si="2"/>
        <v>4.8031091977842832E-2</v>
      </c>
      <c r="P44" s="16">
        <f t="shared" si="2"/>
        <v>5.5634706443403292E-2</v>
      </c>
      <c r="Q44" s="16">
        <f t="shared" si="2"/>
        <v>2.3849512932482497E-2</v>
      </c>
      <c r="R44" s="16">
        <f t="shared" si="2"/>
        <v>2.326358554761998E-2</v>
      </c>
      <c r="S44" s="16">
        <f t="shared" si="2"/>
        <v>2.8449455484588215E-2</v>
      </c>
      <c r="T44" s="16">
        <f t="shared" si="2"/>
        <v>4.1985663466409973E-2</v>
      </c>
      <c r="U44" s="16">
        <f t="shared" si="2"/>
        <v>-4.2568788913402988E-3</v>
      </c>
      <c r="V44" s="16">
        <f t="shared" si="2"/>
        <v>5.0811739886103435E-2</v>
      </c>
    </row>
  </sheetData>
  <conditionalFormatting sqref="B43:V44">
    <cfRule type="expression" dxfId="26" priority="1">
      <formula>B43&lt;=-0.0005</formula>
    </cfRule>
    <cfRule type="expression" dxfId="25" priority="2">
      <formula>B43&gt;=0.0005</formula>
    </cfRule>
    <cfRule type="expression" dxfId="24" priority="3">
      <formula>B43&lt;0.0005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pane xSplit="1" ySplit="1" topLeftCell="C14" activePane="bottomRight" state="frozenSplit"/>
      <selection pane="topRight" activeCell="B1" sqref="B1"/>
      <selection pane="bottomLeft" activeCell="A2" sqref="A2"/>
      <selection pane="bottomRight" activeCell="C42" sqref="C42"/>
    </sheetView>
  </sheetViews>
  <sheetFormatPr defaultRowHeight="15" x14ac:dyDescent="0.25"/>
  <cols>
    <col min="1" max="1" width="7.5703125" style="9" bestFit="1" customWidth="1"/>
    <col min="2" max="2" width="9.140625" style="14" hidden="1" customWidth="1"/>
    <col min="3" max="3" width="9.85546875" style="14" bestFit="1" customWidth="1"/>
    <col min="4" max="4" width="12.42578125" style="15" bestFit="1" customWidth="1"/>
    <col min="5" max="5" width="17.85546875" style="15" bestFit="1" customWidth="1"/>
    <col min="6" max="7" width="15.85546875" style="15" bestFit="1" customWidth="1"/>
    <col min="8" max="8" width="14.140625" style="15" bestFit="1" customWidth="1"/>
    <col min="9" max="9" width="17.28515625" style="15" bestFit="1" customWidth="1"/>
    <col min="10" max="10" width="12.7109375" style="15" bestFit="1" customWidth="1"/>
    <col min="11" max="11" width="12.42578125" style="15" bestFit="1" customWidth="1"/>
    <col min="12" max="12" width="11.85546875" style="15" bestFit="1" customWidth="1"/>
    <col min="13" max="13" width="16.140625" style="15" bestFit="1" customWidth="1"/>
    <col min="14" max="14" width="11.140625" style="15" bestFit="1" customWidth="1"/>
    <col min="15" max="15" width="12.140625" style="15" bestFit="1" customWidth="1"/>
    <col min="16" max="16" width="14.85546875" style="15" bestFit="1" customWidth="1"/>
    <col min="17" max="17" width="14.140625" style="15" bestFit="1" customWidth="1"/>
    <col min="18" max="18" width="15.42578125" style="15" bestFit="1" customWidth="1"/>
    <col min="19" max="19" width="13.140625" style="15" bestFit="1" customWidth="1"/>
    <col min="20" max="20" width="16.5703125" style="15" bestFit="1" customWidth="1"/>
    <col min="21" max="21" width="10.7109375" style="15" bestFit="1" customWidth="1"/>
    <col min="22" max="22" width="12.42578125" style="15" bestFit="1" customWidth="1"/>
    <col min="23" max="23" width="10.28515625" style="15" bestFit="1" customWidth="1"/>
    <col min="24" max="24" width="12.42578125" style="15" bestFit="1" customWidth="1"/>
    <col min="25" max="25" width="7" style="8" bestFit="1" customWidth="1"/>
    <col min="26" max="16384" width="9.140625" style="8"/>
  </cols>
  <sheetData>
    <row r="1" spans="1:24" s="4" customFormat="1" x14ac:dyDescent="0.25">
      <c r="A1" s="1" t="s">
        <v>0</v>
      </c>
      <c r="B1" s="12" t="s">
        <v>25</v>
      </c>
      <c r="C1" s="12" t="s">
        <v>1</v>
      </c>
      <c r="D1" s="13" t="s">
        <v>8</v>
      </c>
      <c r="E1" s="13" t="s">
        <v>7</v>
      </c>
      <c r="F1" s="13" t="s">
        <v>2</v>
      </c>
      <c r="G1" s="13" t="s">
        <v>15</v>
      </c>
      <c r="H1" s="13" t="s">
        <v>11</v>
      </c>
      <c r="I1" s="13" t="s">
        <v>6</v>
      </c>
      <c r="J1" s="13" t="s">
        <v>18</v>
      </c>
      <c r="K1" s="13" t="s">
        <v>20</v>
      </c>
      <c r="L1" s="13" t="s">
        <v>14</v>
      </c>
      <c r="M1" s="13" t="s">
        <v>4</v>
      </c>
      <c r="N1" s="13" t="s">
        <v>3</v>
      </c>
      <c r="O1" s="13" t="s">
        <v>9</v>
      </c>
      <c r="P1" s="13" t="s">
        <v>13</v>
      </c>
      <c r="Q1" s="13" t="s">
        <v>17</v>
      </c>
      <c r="R1" s="13" t="s">
        <v>12</v>
      </c>
      <c r="S1" s="13" t="s">
        <v>16</v>
      </c>
      <c r="T1" s="13" t="s">
        <v>5</v>
      </c>
      <c r="U1" s="13" t="s">
        <v>19</v>
      </c>
      <c r="V1" s="13" t="s">
        <v>10</v>
      </c>
    </row>
    <row r="2" spans="1:24" x14ac:dyDescent="0.25">
      <c r="A2" s="5">
        <v>40179</v>
      </c>
      <c r="B2" s="14">
        <v>235000</v>
      </c>
      <c r="C2" s="14">
        <f>SUMPRODUCT($D2:$V2,Population[[AZ | Phoenix]:[WA | Seattle]])/SUM(Population[[AZ | Phoenix]:[WA | Seattle]])</f>
        <v>279313.54952986626</v>
      </c>
      <c r="D2" s="15">
        <v>130000</v>
      </c>
      <c r="E2" s="15">
        <v>180000</v>
      </c>
      <c r="F2" s="15">
        <v>370000</v>
      </c>
      <c r="G2" s="15">
        <v>207000</v>
      </c>
      <c r="H2" s="15">
        <v>360000</v>
      </c>
      <c r="I2" s="15">
        <v>380000</v>
      </c>
      <c r="J2" s="15">
        <v>485000</v>
      </c>
      <c r="K2" s="15">
        <v>380000</v>
      </c>
      <c r="L2" s="15">
        <v>213250</v>
      </c>
      <c r="M2" s="15">
        <v>315000</v>
      </c>
      <c r="N2" s="15">
        <v>172000</v>
      </c>
      <c r="O2" s="15">
        <v>340000</v>
      </c>
      <c r="P2" s="15">
        <v>275000</v>
      </c>
      <c r="Q2" s="15">
        <v>136517</v>
      </c>
      <c r="R2" s="15">
        <v>370000</v>
      </c>
      <c r="S2" s="15">
        <v>235650</v>
      </c>
      <c r="T2" s="15">
        <v>223500</v>
      </c>
      <c r="U2" s="15">
        <v>184450</v>
      </c>
      <c r="V2" s="15">
        <v>290000</v>
      </c>
      <c r="W2" s="8"/>
      <c r="X2" s="8"/>
    </row>
    <row r="3" spans="1:24" x14ac:dyDescent="0.25">
      <c r="A3" s="5">
        <v>40210</v>
      </c>
      <c r="B3" s="14">
        <v>235000</v>
      </c>
      <c r="C3" s="14">
        <f>SUMPRODUCT($D3:$V3,Population[[AZ | Phoenix]:[WA | Seattle]])/SUM(Population[[AZ | Phoenix]:[WA | Seattle]])</f>
        <v>280449.70518545719</v>
      </c>
      <c r="D3" s="15">
        <v>134900</v>
      </c>
      <c r="E3" s="15">
        <v>180000</v>
      </c>
      <c r="F3" s="15">
        <v>365000</v>
      </c>
      <c r="G3" s="15">
        <v>210000</v>
      </c>
      <c r="H3" s="15">
        <v>370990</v>
      </c>
      <c r="I3" s="15">
        <v>390000</v>
      </c>
      <c r="J3" s="15">
        <v>505000</v>
      </c>
      <c r="K3" s="15">
        <v>405000</v>
      </c>
      <c r="L3" s="15">
        <v>220000</v>
      </c>
      <c r="M3" s="15">
        <v>320000</v>
      </c>
      <c r="N3" s="15">
        <v>166250</v>
      </c>
      <c r="O3" s="15">
        <v>320000</v>
      </c>
      <c r="P3" s="15">
        <v>287000</v>
      </c>
      <c r="Q3" s="15">
        <v>137500</v>
      </c>
      <c r="R3" s="15">
        <v>370000</v>
      </c>
      <c r="S3" s="15">
        <v>235000</v>
      </c>
      <c r="T3" s="15">
        <v>225000</v>
      </c>
      <c r="U3" s="15">
        <v>190000</v>
      </c>
      <c r="V3" s="15">
        <v>295497.5</v>
      </c>
      <c r="W3" s="8"/>
      <c r="X3" s="8"/>
    </row>
    <row r="4" spans="1:24" x14ac:dyDescent="0.25">
      <c r="A4" s="5">
        <v>40238</v>
      </c>
      <c r="B4" s="14">
        <v>240000</v>
      </c>
      <c r="C4" s="14">
        <f>SUMPRODUCT($D4:$V4,Population[[AZ | Phoenix]:[WA | Seattle]])/SUM(Population[[AZ | Phoenix]:[WA | Seattle]])</f>
        <v>290715.43742842175</v>
      </c>
      <c r="D4" s="15">
        <v>137000</v>
      </c>
      <c r="E4" s="15">
        <v>185000</v>
      </c>
      <c r="F4" s="15">
        <v>385000</v>
      </c>
      <c r="G4" s="15">
        <v>215000</v>
      </c>
      <c r="H4" s="15">
        <v>390000</v>
      </c>
      <c r="I4" s="15">
        <v>415000</v>
      </c>
      <c r="J4" s="15">
        <v>543000</v>
      </c>
      <c r="K4" s="15">
        <v>411500</v>
      </c>
      <c r="L4" s="15">
        <v>225000</v>
      </c>
      <c r="M4" s="15">
        <v>330000</v>
      </c>
      <c r="N4" s="15">
        <v>184900</v>
      </c>
      <c r="O4" s="15">
        <v>330000</v>
      </c>
      <c r="P4" s="15">
        <v>275250</v>
      </c>
      <c r="Q4" s="15">
        <v>138000</v>
      </c>
      <c r="R4" s="15">
        <v>360000</v>
      </c>
      <c r="S4" s="15">
        <v>244500</v>
      </c>
      <c r="T4" s="15">
        <v>222000</v>
      </c>
      <c r="U4" s="15">
        <v>184843</v>
      </c>
      <c r="V4" s="15">
        <v>302660</v>
      </c>
      <c r="W4" s="8"/>
      <c r="X4" s="8"/>
    </row>
    <row r="5" spans="1:24" x14ac:dyDescent="0.25">
      <c r="A5" s="5">
        <v>40269</v>
      </c>
      <c r="B5" s="14">
        <v>245000</v>
      </c>
      <c r="C5" s="14">
        <f>SUMPRODUCT($D5:$V5,Population[[AZ | Phoenix]:[WA | Seattle]])/SUM(Population[[AZ | Phoenix]:[WA | Seattle]])</f>
        <v>294198.66574020719</v>
      </c>
      <c r="D5" s="15">
        <v>138000</v>
      </c>
      <c r="E5" s="15">
        <v>180000</v>
      </c>
      <c r="F5" s="15">
        <v>380000</v>
      </c>
      <c r="G5" s="15">
        <v>215000</v>
      </c>
      <c r="H5" s="15">
        <v>385000</v>
      </c>
      <c r="I5" s="15">
        <v>431000</v>
      </c>
      <c r="J5" s="15">
        <v>566000</v>
      </c>
      <c r="K5" s="15">
        <v>408475</v>
      </c>
      <c r="L5" s="15">
        <v>230000</v>
      </c>
      <c r="M5" s="15">
        <v>340000</v>
      </c>
      <c r="N5" s="15">
        <v>190000</v>
      </c>
      <c r="O5" s="15">
        <v>337900</v>
      </c>
      <c r="P5" s="15">
        <v>285000</v>
      </c>
      <c r="Q5" s="15">
        <v>144900</v>
      </c>
      <c r="R5" s="15">
        <v>367170</v>
      </c>
      <c r="S5" s="15">
        <v>242000</v>
      </c>
      <c r="T5" s="15">
        <v>230330</v>
      </c>
      <c r="U5" s="15">
        <v>191905</v>
      </c>
      <c r="V5" s="15">
        <v>300000</v>
      </c>
      <c r="W5" s="8"/>
      <c r="X5" s="8"/>
    </row>
    <row r="6" spans="1:24" x14ac:dyDescent="0.25">
      <c r="A6" s="5">
        <v>40299</v>
      </c>
      <c r="B6" s="14">
        <v>255000</v>
      </c>
      <c r="C6" s="14">
        <f>SUMPRODUCT($D6:$V6,Population[[AZ | Phoenix]:[WA | Seattle]])/SUM(Population[[AZ | Phoenix]:[WA | Seattle]])</f>
        <v>305231.23469156149</v>
      </c>
      <c r="D6" s="15">
        <v>139950</v>
      </c>
      <c r="E6" s="15">
        <v>190000</v>
      </c>
      <c r="F6" s="15">
        <v>400000</v>
      </c>
      <c r="G6" s="15">
        <v>220000</v>
      </c>
      <c r="H6" s="15">
        <v>387000</v>
      </c>
      <c r="I6" s="15">
        <v>480000</v>
      </c>
      <c r="J6" s="15">
        <v>580000</v>
      </c>
      <c r="K6" s="15">
        <v>408500</v>
      </c>
      <c r="L6" s="15">
        <v>232250</v>
      </c>
      <c r="M6" s="15">
        <v>360000</v>
      </c>
      <c r="N6" s="15">
        <v>197500</v>
      </c>
      <c r="O6" s="15">
        <v>344900</v>
      </c>
      <c r="P6" s="15">
        <v>280000</v>
      </c>
      <c r="Q6" s="15">
        <v>144000</v>
      </c>
      <c r="R6" s="15">
        <v>372250</v>
      </c>
      <c r="S6" s="15">
        <v>239900</v>
      </c>
      <c r="T6" s="15">
        <v>232925</v>
      </c>
      <c r="U6" s="15">
        <v>193250</v>
      </c>
      <c r="V6" s="15">
        <v>310000</v>
      </c>
      <c r="W6" s="8"/>
      <c r="X6" s="8"/>
    </row>
    <row r="7" spans="1:24" x14ac:dyDescent="0.25">
      <c r="A7" s="5">
        <v>40330</v>
      </c>
      <c r="B7" s="14">
        <v>266500</v>
      </c>
      <c r="C7" s="14">
        <f>SUMPRODUCT($D7:$V7,Population[[AZ | Phoenix]:[WA | Seattle]])/SUM(Population[[AZ | Phoenix]:[WA | Seattle]])</f>
        <v>314550.26795148704</v>
      </c>
      <c r="D7" s="15">
        <v>140000</v>
      </c>
      <c r="E7" s="15">
        <v>193000</v>
      </c>
      <c r="F7" s="15">
        <v>395000</v>
      </c>
      <c r="G7" s="15">
        <v>224900</v>
      </c>
      <c r="H7" s="15">
        <v>404250</v>
      </c>
      <c r="I7" s="15">
        <v>485000</v>
      </c>
      <c r="J7" s="15">
        <v>580000</v>
      </c>
      <c r="K7" s="15">
        <v>415000</v>
      </c>
      <c r="L7" s="15">
        <v>240000</v>
      </c>
      <c r="M7" s="15">
        <v>370000</v>
      </c>
      <c r="N7" s="15">
        <v>210000</v>
      </c>
      <c r="O7" s="15">
        <v>395000</v>
      </c>
      <c r="P7" s="15">
        <v>309065</v>
      </c>
      <c r="Q7" s="15">
        <v>143785</v>
      </c>
      <c r="R7" s="15">
        <v>387970</v>
      </c>
      <c r="S7" s="15">
        <v>247000</v>
      </c>
      <c r="T7" s="15">
        <v>255000</v>
      </c>
      <c r="U7" s="15">
        <v>208750</v>
      </c>
      <c r="V7" s="15">
        <v>305000</v>
      </c>
      <c r="W7" s="8"/>
      <c r="X7" s="8"/>
    </row>
    <row r="8" spans="1:24" x14ac:dyDescent="0.25">
      <c r="A8" s="5">
        <v>40360</v>
      </c>
      <c r="B8" s="14">
        <v>264500</v>
      </c>
      <c r="C8" s="14">
        <f>SUMPRODUCT($D8:$V8,Population[[AZ | Phoenix]:[WA | Seattle]])/SUM(Population[[AZ | Phoenix]:[WA | Seattle]])</f>
        <v>312796.20596223202</v>
      </c>
      <c r="D8" s="15">
        <v>134500</v>
      </c>
      <c r="E8" s="15">
        <v>185000</v>
      </c>
      <c r="F8" s="15">
        <v>400000</v>
      </c>
      <c r="G8" s="15">
        <v>220000</v>
      </c>
      <c r="H8" s="15">
        <v>390000</v>
      </c>
      <c r="I8" s="15">
        <v>470000</v>
      </c>
      <c r="J8" s="15">
        <v>575000</v>
      </c>
      <c r="K8" s="15">
        <v>410000</v>
      </c>
      <c r="L8" s="15">
        <v>245062.5</v>
      </c>
      <c r="M8" s="15">
        <v>377837.5</v>
      </c>
      <c r="N8" s="15">
        <v>195750</v>
      </c>
      <c r="O8" s="15">
        <v>387000</v>
      </c>
      <c r="P8" s="15">
        <v>315000</v>
      </c>
      <c r="Q8" s="15">
        <v>135000</v>
      </c>
      <c r="R8" s="15">
        <v>391500</v>
      </c>
      <c r="S8" s="15">
        <v>247950</v>
      </c>
      <c r="T8" s="15">
        <v>255000</v>
      </c>
      <c r="U8" s="15">
        <v>224500</v>
      </c>
      <c r="V8" s="15">
        <v>319000</v>
      </c>
      <c r="W8" s="8"/>
      <c r="X8" s="8"/>
    </row>
    <row r="9" spans="1:24" x14ac:dyDescent="0.25">
      <c r="A9" s="5">
        <v>40391</v>
      </c>
      <c r="B9" s="14">
        <v>260000</v>
      </c>
      <c r="C9" s="14">
        <f>SUMPRODUCT($D9:$V9,Population[[AZ | Phoenix]:[WA | Seattle]])/SUM(Population[[AZ | Phoenix]:[WA | Seattle]])</f>
        <v>308218.62438089005</v>
      </c>
      <c r="D9" s="15">
        <v>130000</v>
      </c>
      <c r="E9" s="15">
        <v>186000</v>
      </c>
      <c r="F9" s="15">
        <v>390000</v>
      </c>
      <c r="G9" s="15">
        <v>216000</v>
      </c>
      <c r="H9" s="15">
        <v>390000</v>
      </c>
      <c r="I9" s="15">
        <v>445000</v>
      </c>
      <c r="J9" s="15">
        <v>574500</v>
      </c>
      <c r="K9" s="15">
        <v>405000</v>
      </c>
      <c r="L9" s="15">
        <v>238000</v>
      </c>
      <c r="M9" s="15">
        <v>375225</v>
      </c>
      <c r="N9" s="15">
        <v>205000</v>
      </c>
      <c r="O9" s="15">
        <v>385000</v>
      </c>
      <c r="P9" s="15">
        <v>312665</v>
      </c>
      <c r="Q9" s="15">
        <v>141750</v>
      </c>
      <c r="R9" s="15">
        <v>390000</v>
      </c>
      <c r="S9" s="15">
        <v>250000</v>
      </c>
      <c r="T9" s="15">
        <v>252500</v>
      </c>
      <c r="U9" s="15">
        <v>205000</v>
      </c>
      <c r="V9" s="15">
        <v>300000</v>
      </c>
      <c r="W9" s="8"/>
      <c r="X9" s="8"/>
    </row>
    <row r="10" spans="1:24" x14ac:dyDescent="0.25">
      <c r="A10" s="5">
        <v>40422</v>
      </c>
      <c r="B10" s="14">
        <v>252325</v>
      </c>
      <c r="C10" s="14">
        <f>SUMPRODUCT($D10:$V10,Population[[AZ | Phoenix]:[WA | Seattle]])/SUM(Population[[AZ | Phoenix]:[WA | Seattle]])</f>
        <v>300035.14354923478</v>
      </c>
      <c r="D10" s="15">
        <v>130000</v>
      </c>
      <c r="E10" s="15">
        <v>186000</v>
      </c>
      <c r="F10" s="15">
        <v>400000</v>
      </c>
      <c r="G10" s="15">
        <v>214100</v>
      </c>
      <c r="H10" s="15">
        <v>390500</v>
      </c>
      <c r="I10" s="15">
        <v>450000</v>
      </c>
      <c r="J10" s="15">
        <v>552825</v>
      </c>
      <c r="K10" s="15">
        <v>422000</v>
      </c>
      <c r="L10" s="15">
        <v>235000</v>
      </c>
      <c r="M10" s="15">
        <v>350000</v>
      </c>
      <c r="N10" s="15">
        <v>181000</v>
      </c>
      <c r="O10" s="15">
        <v>344000</v>
      </c>
      <c r="P10" s="15">
        <v>296000</v>
      </c>
      <c r="Q10" s="15">
        <v>140000</v>
      </c>
      <c r="R10" s="15">
        <v>375000</v>
      </c>
      <c r="S10" s="15">
        <v>245000</v>
      </c>
      <c r="T10" s="15">
        <v>239900</v>
      </c>
      <c r="U10" s="15">
        <v>197000</v>
      </c>
      <c r="V10" s="15">
        <v>290000</v>
      </c>
      <c r="W10" s="8"/>
      <c r="X10" s="8"/>
    </row>
    <row r="11" spans="1:24" x14ac:dyDescent="0.25">
      <c r="A11" s="5">
        <v>40452</v>
      </c>
      <c r="B11" s="14">
        <v>249500</v>
      </c>
      <c r="C11" s="14">
        <f>SUMPRODUCT($D11:$V11,Population[[AZ | Phoenix]:[WA | Seattle]])/SUM(Population[[AZ | Phoenix]:[WA | Seattle]])</f>
        <v>294289.03643817565</v>
      </c>
      <c r="D11" s="15">
        <v>128000</v>
      </c>
      <c r="E11" s="15">
        <v>180500</v>
      </c>
      <c r="F11" s="15">
        <v>380000</v>
      </c>
      <c r="G11" s="15">
        <v>211500</v>
      </c>
      <c r="H11" s="15">
        <v>387500</v>
      </c>
      <c r="I11" s="15">
        <v>450000</v>
      </c>
      <c r="J11" s="15">
        <v>552000</v>
      </c>
      <c r="K11" s="15">
        <v>407500</v>
      </c>
      <c r="L11" s="15">
        <v>233500</v>
      </c>
      <c r="M11" s="15">
        <v>350000</v>
      </c>
      <c r="N11" s="15">
        <v>184250</v>
      </c>
      <c r="O11" s="15">
        <v>339000</v>
      </c>
      <c r="P11" s="15">
        <v>289000</v>
      </c>
      <c r="Q11" s="15">
        <v>136000</v>
      </c>
      <c r="R11" s="15">
        <v>373000</v>
      </c>
      <c r="S11" s="15">
        <v>234000</v>
      </c>
      <c r="T11" s="15">
        <v>231750</v>
      </c>
      <c r="U11" s="15">
        <v>200000</v>
      </c>
      <c r="V11" s="15">
        <v>286016.5</v>
      </c>
      <c r="W11" s="8"/>
      <c r="X11" s="8"/>
    </row>
    <row r="12" spans="1:24" x14ac:dyDescent="0.25">
      <c r="A12" s="5">
        <v>40483</v>
      </c>
      <c r="B12" s="14">
        <v>247000</v>
      </c>
      <c r="C12" s="14">
        <f>SUMPRODUCT($D12:$V12,Population[[AZ | Phoenix]:[WA | Seattle]])/SUM(Population[[AZ | Phoenix]:[WA | Seattle]])</f>
        <v>293025.9631592611</v>
      </c>
      <c r="D12" s="15">
        <v>126000</v>
      </c>
      <c r="E12" s="15">
        <v>180000</v>
      </c>
      <c r="F12" s="15">
        <v>385000</v>
      </c>
      <c r="G12" s="15">
        <v>213250</v>
      </c>
      <c r="H12" s="15">
        <v>391850</v>
      </c>
      <c r="I12" s="15">
        <v>430000</v>
      </c>
      <c r="J12" s="15">
        <v>520000</v>
      </c>
      <c r="K12" s="15">
        <v>418000</v>
      </c>
      <c r="L12" s="15">
        <v>230000</v>
      </c>
      <c r="M12" s="15">
        <v>357420</v>
      </c>
      <c r="N12" s="15">
        <v>180000</v>
      </c>
      <c r="O12" s="15">
        <v>350000</v>
      </c>
      <c r="P12" s="15">
        <v>280000</v>
      </c>
      <c r="Q12" s="15">
        <v>135000</v>
      </c>
      <c r="R12" s="15">
        <v>368250</v>
      </c>
      <c r="S12" s="15">
        <v>237000</v>
      </c>
      <c r="T12" s="15">
        <v>230000</v>
      </c>
      <c r="U12" s="15">
        <v>185000</v>
      </c>
      <c r="V12" s="15">
        <v>285000</v>
      </c>
      <c r="W12" s="8"/>
      <c r="X12" s="8"/>
    </row>
    <row r="13" spans="1:24" x14ac:dyDescent="0.25">
      <c r="A13" s="5">
        <v>40513</v>
      </c>
      <c r="B13" s="14">
        <v>244000</v>
      </c>
      <c r="C13" s="14">
        <f>SUMPRODUCT($D13:$V13,Population[[AZ | Phoenix]:[WA | Seattle]])/SUM(Population[[AZ | Phoenix]:[WA | Seattle]])</f>
        <v>289914.88929327304</v>
      </c>
      <c r="D13" s="15">
        <v>120000</v>
      </c>
      <c r="E13" s="15">
        <v>182000</v>
      </c>
      <c r="F13" s="15">
        <v>380000</v>
      </c>
      <c r="G13" s="15">
        <v>205000</v>
      </c>
      <c r="H13" s="15">
        <v>385000</v>
      </c>
      <c r="I13" s="15">
        <v>425000</v>
      </c>
      <c r="J13" s="15">
        <v>525000</v>
      </c>
      <c r="K13" s="15">
        <v>407000</v>
      </c>
      <c r="L13" s="15">
        <v>227880</v>
      </c>
      <c r="M13" s="15">
        <v>360000</v>
      </c>
      <c r="N13" s="15">
        <v>177500</v>
      </c>
      <c r="O13" s="15">
        <v>332500</v>
      </c>
      <c r="P13" s="15">
        <v>274975</v>
      </c>
      <c r="Q13" s="15">
        <v>133050</v>
      </c>
      <c r="R13" s="15">
        <v>365000</v>
      </c>
      <c r="S13" s="15">
        <v>235000</v>
      </c>
      <c r="T13" s="15">
        <v>229000</v>
      </c>
      <c r="U13" s="15">
        <v>192846</v>
      </c>
      <c r="V13" s="15">
        <v>290250</v>
      </c>
      <c r="W13" s="8"/>
      <c r="X13" s="8"/>
    </row>
    <row r="14" spans="1:24" x14ac:dyDescent="0.25">
      <c r="A14" s="5">
        <v>40544</v>
      </c>
      <c r="B14" s="14">
        <v>230000</v>
      </c>
      <c r="C14" s="14">
        <f>SUMPRODUCT($D14:$V14,Population[[AZ | Phoenix]:[WA | Seattle]])/SUM(Population[[AZ | Phoenix]:[WA | Seattle]])</f>
        <v>272328.51159428793</v>
      </c>
      <c r="D14" s="15">
        <v>118000</v>
      </c>
      <c r="E14" s="15">
        <v>179500</v>
      </c>
      <c r="F14" s="15">
        <v>355000</v>
      </c>
      <c r="G14" s="15">
        <v>190000</v>
      </c>
      <c r="H14" s="15">
        <v>360000</v>
      </c>
      <c r="I14" s="15">
        <v>370000</v>
      </c>
      <c r="J14" s="15">
        <v>479000</v>
      </c>
      <c r="K14" s="15">
        <v>400000</v>
      </c>
      <c r="L14" s="15">
        <v>213000</v>
      </c>
      <c r="M14" s="15">
        <v>320892</v>
      </c>
      <c r="N14" s="15">
        <v>168000</v>
      </c>
      <c r="O14" s="15">
        <v>327000</v>
      </c>
      <c r="P14" s="15">
        <v>270000</v>
      </c>
      <c r="Q14" s="15">
        <v>126445.5</v>
      </c>
      <c r="R14" s="15">
        <v>365500</v>
      </c>
      <c r="S14" s="15">
        <v>225000</v>
      </c>
      <c r="T14" s="15">
        <v>220000</v>
      </c>
      <c r="U14" s="15">
        <v>193250</v>
      </c>
      <c r="V14" s="15">
        <v>269600</v>
      </c>
      <c r="W14" s="8"/>
      <c r="X14" s="8"/>
    </row>
    <row r="15" spans="1:24" x14ac:dyDescent="0.25">
      <c r="A15" s="5">
        <v>40575</v>
      </c>
      <c r="B15" s="14">
        <v>225000</v>
      </c>
      <c r="C15" s="14">
        <f>SUMPRODUCT($D15:$V15,Population[[AZ | Phoenix]:[WA | Seattle]])/SUM(Population[[AZ | Phoenix]:[WA | Seattle]])</f>
        <v>270871.64132245042</v>
      </c>
      <c r="D15" s="15">
        <v>119000</v>
      </c>
      <c r="E15" s="15">
        <v>179000</v>
      </c>
      <c r="F15" s="15">
        <v>365000</v>
      </c>
      <c r="G15" s="15">
        <v>190000</v>
      </c>
      <c r="H15" s="15">
        <v>357000</v>
      </c>
      <c r="I15" s="15">
        <v>375000</v>
      </c>
      <c r="J15" s="15">
        <v>490000</v>
      </c>
      <c r="K15" s="15">
        <v>385000</v>
      </c>
      <c r="L15" s="15">
        <v>219500</v>
      </c>
      <c r="M15" s="15">
        <v>315000</v>
      </c>
      <c r="N15" s="15">
        <v>160000</v>
      </c>
      <c r="O15" s="15">
        <v>300000</v>
      </c>
      <c r="P15" s="15">
        <v>274062</v>
      </c>
      <c r="Q15" s="15">
        <v>129000</v>
      </c>
      <c r="R15" s="15">
        <v>361250</v>
      </c>
      <c r="S15" s="15">
        <v>220000</v>
      </c>
      <c r="T15" s="15">
        <v>210000</v>
      </c>
      <c r="U15" s="15">
        <v>193000</v>
      </c>
      <c r="V15" s="15">
        <v>268000</v>
      </c>
      <c r="W15" s="8"/>
      <c r="X15" s="8"/>
    </row>
    <row r="16" spans="1:24" x14ac:dyDescent="0.25">
      <c r="A16" s="5">
        <v>40603</v>
      </c>
      <c r="B16" s="14">
        <v>226346</v>
      </c>
      <c r="C16" s="14">
        <f>SUMPRODUCT($D16:$V16,Population[[AZ | Phoenix]:[WA | Seattle]])/SUM(Population[[AZ | Phoenix]:[WA | Seattle]])</f>
        <v>279572.13087397796</v>
      </c>
      <c r="D16" s="15">
        <v>118000</v>
      </c>
      <c r="E16" s="15">
        <v>180000</v>
      </c>
      <c r="F16" s="15">
        <v>375000</v>
      </c>
      <c r="G16" s="15">
        <v>190000</v>
      </c>
      <c r="H16" s="15">
        <v>380000</v>
      </c>
      <c r="I16" s="15">
        <v>415000</v>
      </c>
      <c r="J16" s="15">
        <v>516000</v>
      </c>
      <c r="K16" s="15">
        <v>410000</v>
      </c>
      <c r="L16" s="15">
        <v>222950</v>
      </c>
      <c r="M16" s="15">
        <v>335000</v>
      </c>
      <c r="N16" s="15">
        <v>165000</v>
      </c>
      <c r="O16" s="15">
        <v>320000</v>
      </c>
      <c r="P16" s="15">
        <v>260000</v>
      </c>
      <c r="Q16" s="15">
        <v>128950</v>
      </c>
      <c r="R16" s="15">
        <v>350000</v>
      </c>
      <c r="S16" s="15">
        <v>219950</v>
      </c>
      <c r="T16" s="15">
        <v>216000</v>
      </c>
      <c r="U16" s="15">
        <v>187000</v>
      </c>
      <c r="V16" s="15">
        <v>269500</v>
      </c>
      <c r="W16" s="8"/>
      <c r="X16" s="8"/>
    </row>
    <row r="17" spans="1:24" x14ac:dyDescent="0.25">
      <c r="A17" s="5">
        <v>40634</v>
      </c>
      <c r="B17" s="14">
        <v>230000</v>
      </c>
      <c r="C17" s="14">
        <f>SUMPRODUCT($D17:$V17,Population[[AZ | Phoenix]:[WA | Seattle]])/SUM(Population[[AZ | Phoenix]:[WA | Seattle]])</f>
        <v>283232.16850308893</v>
      </c>
      <c r="D17" s="15">
        <v>117000</v>
      </c>
      <c r="E17" s="15">
        <v>175000</v>
      </c>
      <c r="F17" s="15">
        <v>380000</v>
      </c>
      <c r="G17" s="15">
        <v>196000</v>
      </c>
      <c r="H17" s="15">
        <v>370000</v>
      </c>
      <c r="I17" s="15">
        <v>415000</v>
      </c>
      <c r="J17" s="15">
        <v>545000</v>
      </c>
      <c r="K17" s="15">
        <v>400000</v>
      </c>
      <c r="L17" s="15">
        <v>219000</v>
      </c>
      <c r="M17" s="15">
        <v>349900</v>
      </c>
      <c r="N17" s="15">
        <v>168000</v>
      </c>
      <c r="O17" s="15">
        <v>327500</v>
      </c>
      <c r="P17" s="15">
        <v>260000</v>
      </c>
      <c r="Q17" s="15">
        <v>126000</v>
      </c>
      <c r="R17" s="15">
        <v>351000</v>
      </c>
      <c r="S17" s="15">
        <v>226000</v>
      </c>
      <c r="T17" s="15">
        <v>223500</v>
      </c>
      <c r="U17" s="15">
        <v>197000</v>
      </c>
      <c r="V17" s="15">
        <v>272062.5</v>
      </c>
      <c r="W17" s="8"/>
      <c r="X17" s="8"/>
    </row>
    <row r="18" spans="1:24" x14ac:dyDescent="0.25">
      <c r="A18" s="5">
        <v>40664</v>
      </c>
      <c r="B18" s="14">
        <v>234000</v>
      </c>
      <c r="C18" s="14">
        <f>SUMPRODUCT($D18:$V18,Population[[AZ | Phoenix]:[WA | Seattle]])/SUM(Population[[AZ | Phoenix]:[WA | Seattle]])</f>
        <v>288807.3023711461</v>
      </c>
      <c r="D18" s="15">
        <v>115000</v>
      </c>
      <c r="E18" s="15">
        <v>177000</v>
      </c>
      <c r="F18" s="15">
        <v>375000</v>
      </c>
      <c r="G18" s="15">
        <v>189949</v>
      </c>
      <c r="H18" s="15">
        <v>375000</v>
      </c>
      <c r="I18" s="15">
        <v>439000</v>
      </c>
      <c r="J18" s="15">
        <v>561500</v>
      </c>
      <c r="K18" s="15">
        <v>410000</v>
      </c>
      <c r="L18" s="15">
        <v>227000</v>
      </c>
      <c r="M18" s="15">
        <v>365000</v>
      </c>
      <c r="N18" s="15">
        <v>173500</v>
      </c>
      <c r="O18" s="15">
        <v>348000</v>
      </c>
      <c r="P18" s="15">
        <v>270000</v>
      </c>
      <c r="Q18" s="15">
        <v>127350</v>
      </c>
      <c r="R18" s="15">
        <v>359900</v>
      </c>
      <c r="S18" s="15">
        <v>223000</v>
      </c>
      <c r="T18" s="15">
        <v>230000</v>
      </c>
      <c r="U18" s="15">
        <v>199000</v>
      </c>
      <c r="V18" s="15">
        <v>275000</v>
      </c>
      <c r="W18" s="8"/>
      <c r="X18" s="8"/>
    </row>
    <row r="19" spans="1:24" x14ac:dyDescent="0.25">
      <c r="A19" s="5">
        <v>40695</v>
      </c>
      <c r="B19" s="14">
        <v>245000</v>
      </c>
      <c r="C19" s="14">
        <f>SUMPRODUCT($D19:$V19,Population[[AZ | Phoenix]:[WA | Seattle]])/SUM(Population[[AZ | Phoenix]:[WA | Seattle]])</f>
        <v>300028.90386297205</v>
      </c>
      <c r="D19" s="15">
        <v>120000</v>
      </c>
      <c r="E19" s="15">
        <v>178500</v>
      </c>
      <c r="F19" s="15">
        <v>380000</v>
      </c>
      <c r="G19" s="15">
        <v>195000</v>
      </c>
      <c r="H19" s="15">
        <v>374900</v>
      </c>
      <c r="I19" s="15">
        <v>460000</v>
      </c>
      <c r="J19" s="15">
        <v>591617</v>
      </c>
      <c r="K19" s="15">
        <v>420000</v>
      </c>
      <c r="L19" s="15">
        <v>231265.5</v>
      </c>
      <c r="M19" s="15">
        <v>385000</v>
      </c>
      <c r="N19" s="15">
        <v>188500</v>
      </c>
      <c r="O19" s="15">
        <v>385000</v>
      </c>
      <c r="P19" s="15">
        <v>285000</v>
      </c>
      <c r="Q19" s="15">
        <v>124925</v>
      </c>
      <c r="R19" s="15">
        <v>376000</v>
      </c>
      <c r="S19" s="15">
        <v>224900</v>
      </c>
      <c r="T19" s="15">
        <v>245000</v>
      </c>
      <c r="U19" s="15">
        <v>204900</v>
      </c>
      <c r="V19" s="15">
        <v>275000</v>
      </c>
      <c r="W19" s="8"/>
      <c r="X19" s="8"/>
    </row>
    <row r="20" spans="1:24" x14ac:dyDescent="0.25">
      <c r="A20" s="5">
        <v>40725</v>
      </c>
      <c r="B20" s="14">
        <v>245000</v>
      </c>
      <c r="C20" s="14">
        <f>SUMPRODUCT($D20:$V20,Population[[AZ | Phoenix]:[WA | Seattle]])/SUM(Population[[AZ | Phoenix]:[WA | Seattle]])</f>
        <v>298626.46302093612</v>
      </c>
      <c r="D20" s="15">
        <v>117000</v>
      </c>
      <c r="E20" s="15">
        <v>176000</v>
      </c>
      <c r="F20" s="15">
        <v>389000</v>
      </c>
      <c r="G20" s="15">
        <v>196000</v>
      </c>
      <c r="H20" s="15">
        <v>369000</v>
      </c>
      <c r="I20" s="15">
        <v>434500</v>
      </c>
      <c r="J20" s="15">
        <v>555000</v>
      </c>
      <c r="K20" s="15">
        <v>400000</v>
      </c>
      <c r="L20" s="15">
        <v>235550</v>
      </c>
      <c r="M20" s="15">
        <v>380000</v>
      </c>
      <c r="N20" s="15">
        <v>190000</v>
      </c>
      <c r="O20" s="15">
        <v>385000</v>
      </c>
      <c r="P20" s="15">
        <v>299900</v>
      </c>
      <c r="Q20" s="15">
        <v>122000</v>
      </c>
      <c r="R20" s="15">
        <v>379000</v>
      </c>
      <c r="S20" s="15">
        <v>226000</v>
      </c>
      <c r="T20" s="15">
        <v>240000</v>
      </c>
      <c r="U20" s="15">
        <v>199850</v>
      </c>
      <c r="V20" s="15">
        <v>278000</v>
      </c>
      <c r="W20" s="8"/>
      <c r="X20" s="8"/>
    </row>
    <row r="21" spans="1:24" x14ac:dyDescent="0.25">
      <c r="A21" s="5">
        <v>40756</v>
      </c>
      <c r="B21" s="14">
        <v>240000</v>
      </c>
      <c r="C21" s="14">
        <f>SUMPRODUCT($D21:$V21,Population[[AZ | Phoenix]:[WA | Seattle]])/SUM(Population[[AZ | Phoenix]:[WA | Seattle]])</f>
        <v>290431.73975917784</v>
      </c>
      <c r="D21" s="15">
        <v>117500</v>
      </c>
      <c r="E21" s="15">
        <v>175000</v>
      </c>
      <c r="F21" s="15">
        <v>372000</v>
      </c>
      <c r="G21" s="15">
        <v>192000</v>
      </c>
      <c r="H21" s="15">
        <v>360000</v>
      </c>
      <c r="I21" s="15">
        <v>415000</v>
      </c>
      <c r="J21" s="15">
        <v>555000</v>
      </c>
      <c r="K21" s="15">
        <v>397000</v>
      </c>
      <c r="L21" s="15">
        <v>228950</v>
      </c>
      <c r="M21" s="15">
        <v>372500</v>
      </c>
      <c r="N21" s="15">
        <v>185000</v>
      </c>
      <c r="O21" s="15">
        <v>369950</v>
      </c>
      <c r="P21" s="15">
        <v>279000</v>
      </c>
      <c r="Q21" s="15">
        <v>122000</v>
      </c>
      <c r="R21" s="15">
        <v>371500</v>
      </c>
      <c r="S21" s="15">
        <v>227000</v>
      </c>
      <c r="T21" s="15">
        <v>240000</v>
      </c>
      <c r="U21" s="15">
        <v>201734</v>
      </c>
      <c r="V21" s="15">
        <v>270000</v>
      </c>
      <c r="W21" s="8"/>
      <c r="X21" s="8"/>
    </row>
    <row r="22" spans="1:24" x14ac:dyDescent="0.25">
      <c r="A22" s="5">
        <v>40787</v>
      </c>
      <c r="B22" s="14">
        <v>235000</v>
      </c>
      <c r="C22" s="14">
        <f>SUMPRODUCT($D22:$V22,Population[[AZ | Phoenix]:[WA | Seattle]])/SUM(Population[[AZ | Phoenix]:[WA | Seattle]])</f>
        <v>282311.20503123279</v>
      </c>
      <c r="D22" s="15">
        <v>122050</v>
      </c>
      <c r="E22" s="15">
        <v>175000</v>
      </c>
      <c r="F22" s="15">
        <v>369500</v>
      </c>
      <c r="G22" s="15">
        <v>190000</v>
      </c>
      <c r="H22" s="15">
        <v>350000</v>
      </c>
      <c r="I22" s="15">
        <v>425000</v>
      </c>
      <c r="J22" s="15">
        <v>520000</v>
      </c>
      <c r="K22" s="15">
        <v>398750</v>
      </c>
      <c r="L22" s="15">
        <v>222000</v>
      </c>
      <c r="M22" s="15">
        <v>345000</v>
      </c>
      <c r="N22" s="15">
        <v>169900</v>
      </c>
      <c r="O22" s="15">
        <v>345000</v>
      </c>
      <c r="P22" s="15">
        <v>270000</v>
      </c>
      <c r="Q22" s="15">
        <v>124000</v>
      </c>
      <c r="R22" s="15">
        <v>374000</v>
      </c>
      <c r="S22" s="15">
        <v>225000</v>
      </c>
      <c r="T22" s="15">
        <v>225000</v>
      </c>
      <c r="U22" s="15">
        <v>191000</v>
      </c>
      <c r="V22" s="15">
        <v>264000</v>
      </c>
      <c r="W22" s="8"/>
      <c r="X22" s="8"/>
    </row>
    <row r="23" spans="1:24" x14ac:dyDescent="0.25">
      <c r="A23" s="5">
        <v>40817</v>
      </c>
      <c r="B23" s="14">
        <v>225905</v>
      </c>
      <c r="C23" s="14">
        <f>SUMPRODUCT($D23:$V23,Population[[AZ | Phoenix]:[WA | Seattle]])/SUM(Population[[AZ | Phoenix]:[WA | Seattle]])</f>
        <v>270382.12958957965</v>
      </c>
      <c r="D23" s="15">
        <v>121500</v>
      </c>
      <c r="E23" s="15">
        <v>174900</v>
      </c>
      <c r="F23" s="15">
        <v>350000</v>
      </c>
      <c r="G23" s="15">
        <v>185000</v>
      </c>
      <c r="H23" s="15">
        <v>350000</v>
      </c>
      <c r="I23" s="15">
        <v>400000</v>
      </c>
      <c r="J23" s="15">
        <v>500000</v>
      </c>
      <c r="K23" s="15">
        <v>380000</v>
      </c>
      <c r="L23" s="15">
        <v>216500</v>
      </c>
      <c r="M23" s="15">
        <v>326375</v>
      </c>
      <c r="N23" s="15">
        <v>164000</v>
      </c>
      <c r="O23" s="15">
        <v>316809</v>
      </c>
      <c r="P23" s="15">
        <v>261417.5</v>
      </c>
      <c r="Q23" s="15">
        <v>121000</v>
      </c>
      <c r="R23" s="15">
        <v>354500</v>
      </c>
      <c r="S23" s="15">
        <v>220000</v>
      </c>
      <c r="T23" s="15">
        <v>219000</v>
      </c>
      <c r="U23" s="15">
        <v>191814</v>
      </c>
      <c r="V23" s="15">
        <v>250000</v>
      </c>
      <c r="W23" s="8"/>
      <c r="X23" s="8"/>
    </row>
    <row r="24" spans="1:24" x14ac:dyDescent="0.25">
      <c r="A24" s="5">
        <v>40848</v>
      </c>
      <c r="B24" s="14">
        <v>230000</v>
      </c>
      <c r="C24" s="14">
        <f>SUMPRODUCT($D24:$V24,Population[[AZ | Phoenix]:[WA | Seattle]])/SUM(Population[[AZ | Phoenix]:[WA | Seattle]])</f>
        <v>274910.04550548206</v>
      </c>
      <c r="D24" s="15">
        <v>126000</v>
      </c>
      <c r="E24" s="15">
        <v>175000</v>
      </c>
      <c r="F24" s="15">
        <v>353750</v>
      </c>
      <c r="G24" s="15">
        <v>185000</v>
      </c>
      <c r="H24" s="15">
        <v>349900</v>
      </c>
      <c r="I24" s="15">
        <v>405000</v>
      </c>
      <c r="J24" s="15">
        <v>511500</v>
      </c>
      <c r="K24" s="15">
        <v>389000</v>
      </c>
      <c r="L24" s="15">
        <v>222900</v>
      </c>
      <c r="M24" s="15">
        <v>344000</v>
      </c>
      <c r="N24" s="15">
        <v>160000</v>
      </c>
      <c r="O24" s="15">
        <v>337750</v>
      </c>
      <c r="P24" s="15">
        <v>260000</v>
      </c>
      <c r="Q24" s="15">
        <v>125000</v>
      </c>
      <c r="R24" s="15">
        <v>350000</v>
      </c>
      <c r="S24" s="15">
        <v>229000</v>
      </c>
      <c r="T24" s="15">
        <v>220000</v>
      </c>
      <c r="U24" s="15">
        <v>190222</v>
      </c>
      <c r="V24" s="15">
        <v>260000</v>
      </c>
      <c r="W24" s="8"/>
      <c r="X24" s="8"/>
    </row>
    <row r="25" spans="1:24" x14ac:dyDescent="0.25">
      <c r="A25" s="5">
        <v>40878</v>
      </c>
      <c r="B25" s="14">
        <v>230000</v>
      </c>
      <c r="C25" s="14">
        <f>SUMPRODUCT($D25:$V25,Population[[AZ | Phoenix]:[WA | Seattle]])/SUM(Population[[AZ | Phoenix]:[WA | Seattle]])</f>
        <v>271455.67950356496</v>
      </c>
      <c r="D25" s="15">
        <v>127787</v>
      </c>
      <c r="E25" s="15">
        <v>174000</v>
      </c>
      <c r="F25" s="15">
        <v>355000</v>
      </c>
      <c r="G25" s="15">
        <v>185000</v>
      </c>
      <c r="H25" s="15">
        <v>350000</v>
      </c>
      <c r="I25" s="15">
        <v>388000</v>
      </c>
      <c r="J25" s="15">
        <v>500000</v>
      </c>
      <c r="K25" s="15">
        <v>370000</v>
      </c>
      <c r="L25" s="15">
        <v>219000</v>
      </c>
      <c r="M25" s="15">
        <v>340000</v>
      </c>
      <c r="N25" s="15">
        <v>157000</v>
      </c>
      <c r="O25" s="15">
        <v>322000</v>
      </c>
      <c r="P25" s="15">
        <v>265000</v>
      </c>
      <c r="Q25" s="15">
        <v>120000</v>
      </c>
      <c r="R25" s="15">
        <v>350000</v>
      </c>
      <c r="S25" s="15">
        <v>219000</v>
      </c>
      <c r="T25" s="15">
        <v>215000</v>
      </c>
      <c r="U25" s="15">
        <v>191000</v>
      </c>
      <c r="V25" s="15">
        <v>259950</v>
      </c>
      <c r="W25" s="8"/>
      <c r="X25" s="8"/>
    </row>
    <row r="26" spans="1:24" x14ac:dyDescent="0.25">
      <c r="A26" s="5">
        <v>40909</v>
      </c>
      <c r="B26" s="14">
        <v>220000</v>
      </c>
      <c r="C26" s="14">
        <f>SUMPRODUCT($D26:$V26,Population[[AZ | Phoenix]:[WA | Seattle]])/SUM(Population[[AZ | Phoenix]:[WA | Seattle]])</f>
        <v>260531.01166859415</v>
      </c>
      <c r="D26" s="15">
        <v>129000</v>
      </c>
      <c r="E26" s="15">
        <v>171000</v>
      </c>
      <c r="F26" s="15">
        <v>340000</v>
      </c>
      <c r="G26" s="15">
        <v>178500</v>
      </c>
      <c r="H26" s="15">
        <v>345000</v>
      </c>
      <c r="I26" s="15">
        <v>360000</v>
      </c>
      <c r="J26" s="15">
        <v>450000</v>
      </c>
      <c r="K26" s="15">
        <v>372500</v>
      </c>
      <c r="L26" s="15">
        <v>213900</v>
      </c>
      <c r="M26" s="15">
        <v>327500</v>
      </c>
      <c r="N26" s="15">
        <v>149000</v>
      </c>
      <c r="O26" s="15">
        <v>315000</v>
      </c>
      <c r="P26" s="15">
        <v>244950</v>
      </c>
      <c r="Q26" s="15">
        <v>118888</v>
      </c>
      <c r="R26" s="15">
        <v>339200</v>
      </c>
      <c r="S26" s="15">
        <v>210000</v>
      </c>
      <c r="T26" s="15">
        <v>210000</v>
      </c>
      <c r="U26" s="15">
        <v>181847.5</v>
      </c>
      <c r="V26" s="15">
        <v>247850</v>
      </c>
      <c r="W26" s="8"/>
      <c r="X26" s="8"/>
    </row>
    <row r="27" spans="1:24" x14ac:dyDescent="0.25">
      <c r="A27" s="5">
        <v>40940</v>
      </c>
      <c r="B27" s="14">
        <v>220000</v>
      </c>
      <c r="C27" s="14">
        <f>SUMPRODUCT($D27:$V27,Population[[AZ | Phoenix]:[WA | Seattle]])/SUM(Population[[AZ | Phoenix]:[WA | Seattle]])</f>
        <v>261829.07988243032</v>
      </c>
      <c r="D27" s="15">
        <v>130000</v>
      </c>
      <c r="E27" s="15">
        <v>173250</v>
      </c>
      <c r="F27" s="15">
        <v>350000</v>
      </c>
      <c r="G27" s="15">
        <v>185000</v>
      </c>
      <c r="H27" s="15">
        <v>350000</v>
      </c>
      <c r="I27" s="15">
        <v>360000</v>
      </c>
      <c r="J27" s="15">
        <v>485000</v>
      </c>
      <c r="K27" s="15">
        <v>375000</v>
      </c>
      <c r="L27" s="15">
        <v>215000</v>
      </c>
      <c r="M27" s="15">
        <v>315000</v>
      </c>
      <c r="N27" s="15">
        <v>147950</v>
      </c>
      <c r="O27" s="15">
        <v>295000</v>
      </c>
      <c r="P27" s="15">
        <v>245000</v>
      </c>
      <c r="Q27" s="15">
        <v>121500</v>
      </c>
      <c r="R27" s="15">
        <v>349000</v>
      </c>
      <c r="S27" s="15">
        <v>214900</v>
      </c>
      <c r="T27" s="15">
        <v>198000</v>
      </c>
      <c r="U27" s="15">
        <v>200000</v>
      </c>
      <c r="V27" s="15">
        <v>250000</v>
      </c>
      <c r="W27" s="8"/>
      <c r="X27" s="8"/>
    </row>
    <row r="28" spans="1:24" x14ac:dyDescent="0.25">
      <c r="A28" s="5">
        <v>40969</v>
      </c>
      <c r="B28" s="14">
        <v>231000</v>
      </c>
      <c r="C28" s="14">
        <f>SUMPRODUCT($D28:$V28,Population[[AZ | Phoenix]:[WA | Seattle]])/SUM(Population[[AZ | Phoenix]:[WA | Seattle]])</f>
        <v>276458.65772478509</v>
      </c>
      <c r="D28" s="15">
        <v>138598</v>
      </c>
      <c r="E28" s="15">
        <v>180000</v>
      </c>
      <c r="F28" s="15">
        <v>363000</v>
      </c>
      <c r="G28" s="15">
        <v>190000</v>
      </c>
      <c r="H28" s="15">
        <v>357750</v>
      </c>
      <c r="I28" s="15">
        <v>401000</v>
      </c>
      <c r="J28" s="15">
        <v>529250</v>
      </c>
      <c r="K28" s="15">
        <v>390000</v>
      </c>
      <c r="L28" s="15">
        <v>229700</v>
      </c>
      <c r="M28" s="15">
        <v>346950</v>
      </c>
      <c r="N28" s="15">
        <v>160000</v>
      </c>
      <c r="O28" s="15">
        <v>320000</v>
      </c>
      <c r="P28" s="15">
        <v>260000</v>
      </c>
      <c r="Q28" s="15">
        <v>123000</v>
      </c>
      <c r="R28" s="15">
        <v>336500</v>
      </c>
      <c r="S28" s="15">
        <v>220000</v>
      </c>
      <c r="T28" s="15">
        <v>209500</v>
      </c>
      <c r="U28" s="15">
        <v>205000</v>
      </c>
      <c r="V28" s="15">
        <v>260950</v>
      </c>
      <c r="W28" s="8"/>
      <c r="X28" s="8"/>
    </row>
    <row r="29" spans="1:24" x14ac:dyDescent="0.25">
      <c r="A29" s="5">
        <v>41000</v>
      </c>
      <c r="B29" s="14">
        <v>245000</v>
      </c>
      <c r="C29" s="14">
        <f>SUMPRODUCT($D29:$V29,Population[[AZ | Phoenix]:[WA | Seattle]])/SUM(Population[[AZ | Phoenix]:[WA | Seattle]])</f>
        <v>290430.33895102609</v>
      </c>
      <c r="D29" s="15">
        <v>145000</v>
      </c>
      <c r="E29" s="15">
        <v>182000</v>
      </c>
      <c r="F29" s="15">
        <v>376750</v>
      </c>
      <c r="G29" s="15">
        <v>192250</v>
      </c>
      <c r="H29" s="15">
        <v>360000</v>
      </c>
      <c r="I29" s="15">
        <v>435000</v>
      </c>
      <c r="J29" s="15">
        <v>575000</v>
      </c>
      <c r="K29" s="15">
        <v>405000</v>
      </c>
      <c r="L29" s="15">
        <v>244000</v>
      </c>
      <c r="M29" s="15">
        <v>369950</v>
      </c>
      <c r="N29" s="15">
        <v>168000</v>
      </c>
      <c r="O29" s="15">
        <v>332000</v>
      </c>
      <c r="P29" s="15">
        <v>278100</v>
      </c>
      <c r="Q29" s="15">
        <v>126836.5</v>
      </c>
      <c r="R29" s="15">
        <v>357250</v>
      </c>
      <c r="S29" s="15">
        <v>229900</v>
      </c>
      <c r="T29" s="15">
        <v>223500</v>
      </c>
      <c r="U29" s="15">
        <v>210000</v>
      </c>
      <c r="V29" s="15">
        <v>279950</v>
      </c>
      <c r="W29" s="8"/>
      <c r="X29" s="8"/>
    </row>
    <row r="30" spans="1:24" x14ac:dyDescent="0.25">
      <c r="A30" s="5">
        <v>41030</v>
      </c>
      <c r="B30" s="14">
        <v>256250</v>
      </c>
      <c r="C30" s="14">
        <f>SUMPRODUCT($D30:$V30,Population[[AZ | Phoenix]:[WA | Seattle]])/SUM(Population[[AZ | Phoenix]:[WA | Seattle]])</f>
        <v>299181.11854720715</v>
      </c>
      <c r="D30" s="15">
        <v>153000</v>
      </c>
      <c r="E30" s="15">
        <v>185000</v>
      </c>
      <c r="F30" s="15">
        <v>375000</v>
      </c>
      <c r="G30" s="15">
        <v>194450</v>
      </c>
      <c r="H30" s="15">
        <v>379900</v>
      </c>
      <c r="I30" s="15">
        <v>467500</v>
      </c>
      <c r="J30" s="15">
        <v>592500</v>
      </c>
      <c r="K30" s="15">
        <v>403000</v>
      </c>
      <c r="L30" s="15">
        <v>250000</v>
      </c>
      <c r="M30" s="15">
        <v>390000</v>
      </c>
      <c r="N30" s="15">
        <v>178000</v>
      </c>
      <c r="O30" s="15">
        <v>350000</v>
      </c>
      <c r="P30" s="15">
        <v>282900</v>
      </c>
      <c r="Q30" s="15">
        <v>128000</v>
      </c>
      <c r="R30" s="15">
        <v>360000</v>
      </c>
      <c r="S30" s="15">
        <v>240000</v>
      </c>
      <c r="T30" s="15">
        <v>230000</v>
      </c>
      <c r="U30" s="15">
        <v>217000</v>
      </c>
      <c r="V30" s="15">
        <v>283500</v>
      </c>
      <c r="W30" s="8"/>
      <c r="X30" s="8"/>
    </row>
    <row r="31" spans="1:24" x14ac:dyDescent="0.25">
      <c r="A31" s="5">
        <v>41061</v>
      </c>
      <c r="C31" s="14">
        <f>SUMPRODUCT($D31:$V31,Population[[AZ | Phoenix]:[WA | Seattle]])/SUM(Population[[AZ | Phoenix]:[WA | Seattle]])</f>
        <v>313893.90958838508</v>
      </c>
      <c r="D31" s="15">
        <v>154900</v>
      </c>
      <c r="E31" s="15">
        <v>185000</v>
      </c>
      <c r="F31" s="15">
        <v>389900</v>
      </c>
      <c r="G31" s="15">
        <v>199925</v>
      </c>
      <c r="H31" s="15">
        <v>381500</v>
      </c>
      <c r="I31" s="15">
        <v>490000</v>
      </c>
      <c r="J31" s="15">
        <v>638000</v>
      </c>
      <c r="K31" s="15">
        <v>407000</v>
      </c>
      <c r="L31" s="15">
        <v>260000</v>
      </c>
      <c r="M31" s="15">
        <v>408000</v>
      </c>
      <c r="N31" s="15">
        <v>194375</v>
      </c>
      <c r="O31" s="15">
        <v>389000</v>
      </c>
      <c r="P31" s="15">
        <v>300000</v>
      </c>
      <c r="Q31" s="15">
        <v>130900</v>
      </c>
      <c r="R31" s="15">
        <v>374000</v>
      </c>
      <c r="S31" s="15">
        <v>242275</v>
      </c>
      <c r="T31" s="15">
        <v>250325</v>
      </c>
      <c r="U31" s="15">
        <v>220000</v>
      </c>
      <c r="V31" s="15">
        <v>299900</v>
      </c>
      <c r="W31" s="8"/>
      <c r="X31" s="8"/>
    </row>
    <row r="32" spans="1:24" x14ac:dyDescent="0.25">
      <c r="A32" s="5">
        <v>41091</v>
      </c>
      <c r="C32" s="24">
        <f>SUMPRODUCT($D32:$V32,Population[[AZ | Phoenix]:[WA | Seattle]])/SUM(Population[[AZ | Phoenix]:[WA | Seattle]])</f>
        <v>312820.54664440983</v>
      </c>
      <c r="D32" s="15">
        <v>150000</v>
      </c>
      <c r="E32" s="15">
        <v>192000</v>
      </c>
      <c r="F32" s="15">
        <v>400000</v>
      </c>
      <c r="G32" s="15">
        <v>207000</v>
      </c>
      <c r="H32" s="15">
        <v>380000</v>
      </c>
      <c r="I32" s="15">
        <v>490000</v>
      </c>
      <c r="J32" s="15">
        <v>635000</v>
      </c>
      <c r="K32" s="15">
        <v>410000</v>
      </c>
      <c r="L32" s="15">
        <v>255500</v>
      </c>
      <c r="M32" s="15">
        <v>399000</v>
      </c>
      <c r="N32" s="15">
        <v>185000</v>
      </c>
      <c r="O32" s="15">
        <v>375000</v>
      </c>
      <c r="P32" s="15">
        <v>305000</v>
      </c>
      <c r="Q32" s="15">
        <v>132000</v>
      </c>
      <c r="R32" s="15">
        <v>370500</v>
      </c>
      <c r="S32" s="15">
        <v>247250</v>
      </c>
      <c r="T32" s="15">
        <v>242954</v>
      </c>
      <c r="U32" s="15">
        <v>215000</v>
      </c>
      <c r="V32" s="15">
        <v>300000</v>
      </c>
    </row>
    <row r="33" spans="1:22" x14ac:dyDescent="0.25">
      <c r="A33" s="5">
        <v>41122</v>
      </c>
      <c r="C33" s="24">
        <f>SUMPRODUCT($D33:$V33,Population[[AZ | Phoenix]:[WA | Seattle]])/SUM(Population[[AZ | Phoenix]:[WA | Seattle]])</f>
        <v>310331.1168982198</v>
      </c>
      <c r="D33" s="15">
        <v>150000</v>
      </c>
      <c r="E33" s="15">
        <v>190000</v>
      </c>
      <c r="F33" s="15">
        <v>400000</v>
      </c>
      <c r="G33" s="15">
        <v>210000</v>
      </c>
      <c r="H33" s="15">
        <v>385000</v>
      </c>
      <c r="I33" s="15">
        <v>468900</v>
      </c>
      <c r="J33" s="15">
        <v>615000</v>
      </c>
      <c r="K33" s="15">
        <v>420000</v>
      </c>
      <c r="L33" s="15">
        <v>251000</v>
      </c>
      <c r="M33" s="15">
        <v>395000</v>
      </c>
      <c r="N33" s="15">
        <v>180000</v>
      </c>
      <c r="O33" s="15">
        <v>375000</v>
      </c>
      <c r="P33" s="15">
        <v>296000</v>
      </c>
      <c r="Q33" s="15">
        <v>135000</v>
      </c>
      <c r="R33" s="15">
        <v>380500</v>
      </c>
      <c r="S33" s="15">
        <v>248350</v>
      </c>
      <c r="T33" s="15">
        <v>240000</v>
      </c>
      <c r="U33" s="15">
        <v>215000</v>
      </c>
      <c r="V33" s="15">
        <v>300000</v>
      </c>
    </row>
    <row r="34" spans="1:22" s="11" customFormat="1" x14ac:dyDescent="0.25">
      <c r="A34" s="5">
        <v>41153</v>
      </c>
      <c r="B34" s="14"/>
      <c r="C34" s="24">
        <f>SUMPRODUCT($D34:$V34,Population[[AZ | Phoenix]:[WA | Seattle]])/SUM(Population[[AZ | Phoenix]:[WA | Seattle]])</f>
        <v>305372.57806806924</v>
      </c>
      <c r="D34" s="15">
        <v>159900</v>
      </c>
      <c r="E34" s="15">
        <v>195000</v>
      </c>
      <c r="F34" s="15">
        <v>405000</v>
      </c>
      <c r="G34" s="15">
        <v>217000</v>
      </c>
      <c r="H34" s="15">
        <v>396000</v>
      </c>
      <c r="I34" s="15">
        <v>475000</v>
      </c>
      <c r="J34" s="15">
        <v>600000</v>
      </c>
      <c r="K34" s="15">
        <v>409450</v>
      </c>
      <c r="L34" s="15">
        <v>251375</v>
      </c>
      <c r="M34" s="15">
        <v>368000</v>
      </c>
      <c r="N34" s="15">
        <v>171000</v>
      </c>
      <c r="O34" s="15">
        <v>335000</v>
      </c>
      <c r="P34" s="15">
        <v>282750</v>
      </c>
      <c r="Q34" s="15">
        <v>139626</v>
      </c>
      <c r="R34" s="15">
        <v>370000</v>
      </c>
      <c r="S34" s="15">
        <v>244000</v>
      </c>
      <c r="T34" s="15">
        <v>229950</v>
      </c>
      <c r="U34" s="15">
        <v>200000</v>
      </c>
      <c r="V34" s="15">
        <v>300000</v>
      </c>
    </row>
    <row r="35" spans="1:22" x14ac:dyDescent="0.25">
      <c r="A35" s="5">
        <v>41183</v>
      </c>
      <c r="C35" s="24">
        <f>SUMPRODUCT($D35:$V35,Population[[AZ | Phoenix]:[WA | Seattle]])/SUM(Population[[AZ | Phoenix]:[WA | Seattle]])</f>
        <v>305021.17009917973</v>
      </c>
      <c r="D35" s="15">
        <v>160000</v>
      </c>
      <c r="E35" s="15">
        <v>199900</v>
      </c>
      <c r="F35" s="15">
        <v>400000</v>
      </c>
      <c r="G35" s="15">
        <v>213200</v>
      </c>
      <c r="H35" s="15">
        <v>390000</v>
      </c>
      <c r="I35" s="15">
        <v>495000</v>
      </c>
      <c r="J35" s="15">
        <v>628000</v>
      </c>
      <c r="K35" s="15">
        <v>415000</v>
      </c>
      <c r="L35" s="15">
        <v>249900</v>
      </c>
      <c r="M35" s="15">
        <v>365000</v>
      </c>
      <c r="N35" s="15">
        <v>162750</v>
      </c>
      <c r="O35" s="15">
        <v>335000</v>
      </c>
      <c r="P35" s="15">
        <v>283319</v>
      </c>
      <c r="Q35" s="15">
        <v>140000</v>
      </c>
      <c r="R35" s="15">
        <v>365000</v>
      </c>
      <c r="S35" s="15">
        <v>245000</v>
      </c>
      <c r="T35" s="15">
        <v>229000</v>
      </c>
      <c r="U35" s="15">
        <v>203000</v>
      </c>
      <c r="V35" s="15">
        <v>299000</v>
      </c>
    </row>
    <row r="36" spans="1:22" x14ac:dyDescent="0.25">
      <c r="A36" s="5">
        <v>41214</v>
      </c>
      <c r="C36" s="14">
        <f>SUMPRODUCT($D36:$V36,Population[[AZ | Phoenix]:[WA | Seattle]])/SUM(Population[[AZ | Phoenix]:[WA | Seattle]])</f>
        <v>310945.87180864625</v>
      </c>
      <c r="D36" s="15">
        <v>165000</v>
      </c>
      <c r="E36" s="15">
        <v>209700</v>
      </c>
      <c r="F36" s="15">
        <v>413000</v>
      </c>
      <c r="G36" s="15">
        <v>220000</v>
      </c>
      <c r="H36" s="15">
        <v>398000</v>
      </c>
      <c r="I36" s="15">
        <v>500000</v>
      </c>
      <c r="J36" s="15">
        <v>632000</v>
      </c>
      <c r="K36" s="15">
        <v>415000</v>
      </c>
      <c r="L36" s="15">
        <v>248232.5</v>
      </c>
      <c r="M36" s="15">
        <v>375000</v>
      </c>
      <c r="N36" s="15">
        <v>168000</v>
      </c>
      <c r="O36" s="15">
        <v>340000</v>
      </c>
      <c r="P36" s="15">
        <v>275000</v>
      </c>
      <c r="Q36" s="15">
        <v>145000</v>
      </c>
      <c r="R36" s="15">
        <v>365000</v>
      </c>
      <c r="S36" s="15">
        <v>244900</v>
      </c>
      <c r="T36" s="15">
        <v>235000</v>
      </c>
      <c r="U36" s="15">
        <v>203500</v>
      </c>
      <c r="V36" s="15">
        <v>300415.5</v>
      </c>
    </row>
    <row r="37" spans="1:22" x14ac:dyDescent="0.25">
      <c r="A37" s="5">
        <v>41244</v>
      </c>
      <c r="C37" s="14">
        <f>SUMPRODUCT($D37:$V37,Population[[AZ | Phoenix]:[WA | Seattle]])/SUM(Population[[AZ | Phoenix]:[WA | Seattle]])</f>
        <v>311762.1197163731</v>
      </c>
      <c r="D37" s="15">
        <v>161050</v>
      </c>
      <c r="E37" s="15">
        <v>212500</v>
      </c>
      <c r="F37" s="15">
        <v>420000</v>
      </c>
      <c r="G37" s="15">
        <v>238250</v>
      </c>
      <c r="H37" s="15">
        <v>404000</v>
      </c>
      <c r="I37" s="15">
        <v>487500</v>
      </c>
      <c r="J37" s="15">
        <v>620000</v>
      </c>
      <c r="K37" s="15">
        <v>420000</v>
      </c>
      <c r="L37" s="15">
        <v>247000</v>
      </c>
      <c r="M37" s="15">
        <v>385000</v>
      </c>
      <c r="N37" s="15">
        <v>164000</v>
      </c>
      <c r="O37" s="15">
        <v>340000</v>
      </c>
      <c r="P37" s="15">
        <v>275000</v>
      </c>
      <c r="Q37" s="15">
        <v>149000</v>
      </c>
      <c r="R37" s="15">
        <v>365000</v>
      </c>
      <c r="S37" s="15">
        <v>250000</v>
      </c>
      <c r="T37" s="15">
        <v>223700</v>
      </c>
      <c r="U37" s="15">
        <v>211000</v>
      </c>
      <c r="V37" s="15">
        <v>300000</v>
      </c>
    </row>
    <row r="38" spans="1:22" x14ac:dyDescent="0.25">
      <c r="A38" s="5">
        <v>41275</v>
      </c>
      <c r="C38" s="64">
        <f>SUMPRODUCT($D38:$V38,Population[[AZ | Phoenix]:[WA | Seattle]])/SUM(Population[[AZ | Phoenix]:[WA | Seattle]])</f>
        <v>293856.93735968001</v>
      </c>
      <c r="D38" s="15">
        <v>161000</v>
      </c>
      <c r="E38" s="15">
        <v>210000</v>
      </c>
      <c r="F38" s="15">
        <v>395000</v>
      </c>
      <c r="G38" s="15">
        <v>222250</v>
      </c>
      <c r="H38" s="15">
        <v>385450</v>
      </c>
      <c r="I38" s="15">
        <v>430000</v>
      </c>
      <c r="J38" s="15">
        <v>589000</v>
      </c>
      <c r="K38" s="15">
        <v>400000</v>
      </c>
      <c r="L38" s="15">
        <v>241950</v>
      </c>
      <c r="M38" s="15">
        <v>340500</v>
      </c>
      <c r="N38" s="15">
        <v>155000</v>
      </c>
      <c r="O38" s="15">
        <v>329700</v>
      </c>
      <c r="P38" s="15">
        <v>262500</v>
      </c>
      <c r="Q38" s="15">
        <v>150000</v>
      </c>
      <c r="R38" s="15">
        <v>361400</v>
      </c>
      <c r="S38" s="15">
        <v>250000</v>
      </c>
      <c r="T38" s="15">
        <v>210000</v>
      </c>
      <c r="U38" s="15">
        <v>205000</v>
      </c>
      <c r="V38" s="15">
        <v>279000</v>
      </c>
    </row>
    <row r="39" spans="1:22" x14ac:dyDescent="0.25">
      <c r="A39" s="5">
        <v>41306</v>
      </c>
      <c r="C39" s="14">
        <f>SUMPRODUCT($D39:$V39,Population[[AZ | Phoenix]:[WA | Seattle]])/SUM(Population[[AZ | Phoenix]:[WA | Seattle]])</f>
        <v>301935.05332500726</v>
      </c>
      <c r="D39" s="15">
        <v>168000</v>
      </c>
      <c r="E39" s="15">
        <v>210000</v>
      </c>
      <c r="F39" s="15">
        <v>420000</v>
      </c>
      <c r="G39" s="15">
        <v>230000</v>
      </c>
      <c r="H39" s="15">
        <v>400000</v>
      </c>
      <c r="I39" s="15">
        <v>447000</v>
      </c>
      <c r="J39" s="15">
        <v>634650</v>
      </c>
      <c r="K39" s="15">
        <v>430000</v>
      </c>
      <c r="L39" s="15">
        <v>253000</v>
      </c>
      <c r="M39" s="15">
        <v>356000</v>
      </c>
      <c r="N39" s="15">
        <v>152513</v>
      </c>
      <c r="O39" s="15">
        <v>323750</v>
      </c>
      <c r="P39" s="15">
        <v>254000</v>
      </c>
      <c r="Q39" s="15">
        <v>150000</v>
      </c>
      <c r="R39" s="15">
        <v>350000</v>
      </c>
      <c r="S39" s="15">
        <v>247450</v>
      </c>
      <c r="T39" s="15">
        <v>200000</v>
      </c>
      <c r="U39" s="15">
        <v>210000</v>
      </c>
      <c r="V39" s="15">
        <v>290000</v>
      </c>
    </row>
    <row r="40" spans="1:22" x14ac:dyDescent="0.25">
      <c r="A40" s="5">
        <v>41334</v>
      </c>
      <c r="C40" s="14">
        <f>SUMPRODUCT($D40:$V40,Population[[AZ | Phoenix]:[WA | Seattle]])/SUM(Population[[AZ | Phoenix]:[WA | Seattle]])</f>
        <v>324484.70982281002</v>
      </c>
      <c r="D40" s="15">
        <v>175000</v>
      </c>
      <c r="E40" s="15">
        <v>225000</v>
      </c>
      <c r="F40" s="15">
        <v>450000</v>
      </c>
      <c r="G40" s="15">
        <v>245000</v>
      </c>
      <c r="H40" s="15">
        <v>422000</v>
      </c>
      <c r="I40" s="15">
        <v>535000</v>
      </c>
      <c r="J40" s="15">
        <v>675000</v>
      </c>
      <c r="K40" s="15">
        <v>440000</v>
      </c>
      <c r="L40" s="15">
        <v>265000</v>
      </c>
      <c r="M40" s="15">
        <v>385000</v>
      </c>
      <c r="N40" s="15">
        <v>165000</v>
      </c>
      <c r="O40" s="15">
        <v>327000</v>
      </c>
      <c r="P40" s="15">
        <v>260000</v>
      </c>
      <c r="Q40" s="15">
        <v>160000</v>
      </c>
      <c r="R40" s="15">
        <v>375000</v>
      </c>
      <c r="S40" s="15">
        <v>251000</v>
      </c>
      <c r="T40" s="15">
        <v>225000</v>
      </c>
      <c r="U40" s="15">
        <v>222500</v>
      </c>
      <c r="V40" s="15">
        <v>303225</v>
      </c>
    </row>
    <row r="41" spans="1:22" x14ac:dyDescent="0.25">
      <c r="A41" s="5">
        <v>41365</v>
      </c>
      <c r="C41" s="65">
        <f>SUMPRODUCT($D41:$V41,Population[[AZ | Phoenix]:[WA | Seattle]])/SUM(Population[[AZ | Phoenix]:[WA | Seattle]])</f>
        <v>343707.53464477637</v>
      </c>
      <c r="D41" s="15">
        <v>179900</v>
      </c>
      <c r="E41" s="15">
        <v>225000</v>
      </c>
      <c r="F41" s="15">
        <v>480000</v>
      </c>
      <c r="G41" s="15">
        <v>250000</v>
      </c>
      <c r="H41" s="15">
        <v>439000</v>
      </c>
      <c r="I41" s="15">
        <v>599000</v>
      </c>
      <c r="J41" s="15">
        <v>728500</v>
      </c>
      <c r="K41" s="15">
        <v>469500</v>
      </c>
      <c r="L41" s="15">
        <v>274950</v>
      </c>
      <c r="M41" s="15">
        <v>407000</v>
      </c>
      <c r="N41" s="15">
        <v>180000</v>
      </c>
      <c r="O41" s="15">
        <v>360000</v>
      </c>
      <c r="P41" s="15">
        <v>269308</v>
      </c>
      <c r="Q41" s="15">
        <v>163000</v>
      </c>
      <c r="R41" s="15">
        <v>385000</v>
      </c>
      <c r="S41" s="15">
        <v>259000</v>
      </c>
      <c r="T41" s="15">
        <v>228000</v>
      </c>
      <c r="U41" s="15">
        <v>230000</v>
      </c>
      <c r="V41" s="15">
        <v>315000</v>
      </c>
    </row>
    <row r="42" spans="1:22" x14ac:dyDescent="0.25">
      <c r="A42" s="5">
        <v>41395</v>
      </c>
      <c r="C42" s="67">
        <f>SUMPRODUCT($D42:$V42,Population[[AZ | Phoenix]:[WA | Seattle]])/SUM(Population[[AZ | Phoenix]:[WA | Seattle]])</f>
        <v>359973.78929538216</v>
      </c>
      <c r="D42" s="15">
        <v>183000</v>
      </c>
      <c r="E42" s="15">
        <v>235000</v>
      </c>
      <c r="F42" s="15">
        <v>490000</v>
      </c>
      <c r="G42" s="15">
        <v>265000</v>
      </c>
      <c r="H42" s="15">
        <v>455000</v>
      </c>
      <c r="I42" s="15">
        <v>655501</v>
      </c>
      <c r="J42" s="15">
        <v>760000</v>
      </c>
      <c r="K42" s="15">
        <v>465000</v>
      </c>
      <c r="L42" s="15">
        <v>281375</v>
      </c>
      <c r="M42" s="15">
        <v>434000</v>
      </c>
      <c r="N42" s="15">
        <v>195000</v>
      </c>
      <c r="O42" s="15">
        <v>378500</v>
      </c>
      <c r="P42" s="15">
        <v>297000</v>
      </c>
      <c r="Q42" s="15">
        <v>168000</v>
      </c>
      <c r="R42" s="15">
        <v>390000</v>
      </c>
      <c r="S42" s="15">
        <v>275000</v>
      </c>
      <c r="T42" s="15">
        <v>240000</v>
      </c>
      <c r="U42" s="15">
        <v>234000</v>
      </c>
      <c r="V42" s="15">
        <v>335000</v>
      </c>
    </row>
    <row r="43" spans="1:22" x14ac:dyDescent="0.25">
      <c r="A43" s="10" t="s">
        <v>21</v>
      </c>
      <c r="B43" s="10">
        <f>B30/B18-1</f>
        <v>9.5085470085470192E-2</v>
      </c>
      <c r="C43" s="10">
        <f>C42/C30-1</f>
        <v>0.20319688302315986</v>
      </c>
      <c r="D43" s="16">
        <f t="shared" ref="D43:V43" si="0">D42/D30-1</f>
        <v>0.19607843137254899</v>
      </c>
      <c r="E43" s="16">
        <f t="shared" si="0"/>
        <v>0.27027027027027017</v>
      </c>
      <c r="F43" s="16">
        <f t="shared" si="0"/>
        <v>0.30666666666666664</v>
      </c>
      <c r="G43" s="16">
        <f t="shared" si="0"/>
        <v>0.36281820519413732</v>
      </c>
      <c r="H43" s="16">
        <f t="shared" si="0"/>
        <v>0.19768360094761772</v>
      </c>
      <c r="I43" s="16">
        <f t="shared" si="0"/>
        <v>0.40214117647058822</v>
      </c>
      <c r="J43" s="16">
        <f t="shared" si="0"/>
        <v>0.28270042194092837</v>
      </c>
      <c r="K43" s="16">
        <f t="shared" si="0"/>
        <v>0.15384615384615374</v>
      </c>
      <c r="L43" s="16">
        <f t="shared" si="0"/>
        <v>0.12549999999999994</v>
      </c>
      <c r="M43" s="16">
        <f t="shared" si="0"/>
        <v>0.11282051282051286</v>
      </c>
      <c r="N43" s="16">
        <f t="shared" si="0"/>
        <v>9.550561797752799E-2</v>
      </c>
      <c r="O43" s="16">
        <f t="shared" si="0"/>
        <v>8.1428571428571406E-2</v>
      </c>
      <c r="P43" s="16">
        <f t="shared" si="0"/>
        <v>4.9840933191940717E-2</v>
      </c>
      <c r="Q43" s="16">
        <f t="shared" si="0"/>
        <v>0.3125</v>
      </c>
      <c r="R43" s="16">
        <f t="shared" si="0"/>
        <v>8.3333333333333259E-2</v>
      </c>
      <c r="S43" s="16">
        <f t="shared" si="0"/>
        <v>0.14583333333333326</v>
      </c>
      <c r="T43" s="16">
        <f t="shared" si="0"/>
        <v>4.3478260869565188E-2</v>
      </c>
      <c r="U43" s="16">
        <f t="shared" si="0"/>
        <v>7.8341013824884786E-2</v>
      </c>
      <c r="V43" s="16">
        <f t="shared" si="0"/>
        <v>0.18165784832451504</v>
      </c>
    </row>
    <row r="44" spans="1:22" x14ac:dyDescent="0.25">
      <c r="A44" s="10" t="s">
        <v>22</v>
      </c>
      <c r="B44" s="10">
        <f>B30/B29-1</f>
        <v>4.5918367346938771E-2</v>
      </c>
      <c r="C44" s="10">
        <f>C42/C41-1</f>
        <v>4.7325859956538485E-2</v>
      </c>
      <c r="D44" s="16">
        <f t="shared" ref="D44:V44" si="1">D42/D41-1</f>
        <v>1.7231795441912112E-2</v>
      </c>
      <c r="E44" s="16">
        <f t="shared" si="1"/>
        <v>4.4444444444444509E-2</v>
      </c>
      <c r="F44" s="16">
        <f t="shared" si="1"/>
        <v>2.0833333333333259E-2</v>
      </c>
      <c r="G44" s="16">
        <f t="shared" si="1"/>
        <v>6.0000000000000053E-2</v>
      </c>
      <c r="H44" s="16">
        <f t="shared" si="1"/>
        <v>3.6446469248291535E-2</v>
      </c>
      <c r="I44" s="16">
        <f t="shared" si="1"/>
        <v>9.4325542570951493E-2</v>
      </c>
      <c r="J44" s="16">
        <f t="shared" si="1"/>
        <v>4.3239533287577236E-2</v>
      </c>
      <c r="K44" s="16">
        <f t="shared" si="1"/>
        <v>-9.5846645367412275E-3</v>
      </c>
      <c r="L44" s="16">
        <f t="shared" si="1"/>
        <v>2.3367885070012751E-2</v>
      </c>
      <c r="M44" s="16">
        <f t="shared" si="1"/>
        <v>6.6339066339066388E-2</v>
      </c>
      <c r="N44" s="16">
        <f t="shared" si="1"/>
        <v>8.3333333333333259E-2</v>
      </c>
      <c r="O44" s="16">
        <f t="shared" si="1"/>
        <v>5.1388888888888928E-2</v>
      </c>
      <c r="P44" s="16">
        <f t="shared" si="1"/>
        <v>0.10282650348300093</v>
      </c>
      <c r="Q44" s="16">
        <f t="shared" si="1"/>
        <v>3.0674846625766916E-2</v>
      </c>
      <c r="R44" s="16">
        <f t="shared" si="1"/>
        <v>1.298701298701288E-2</v>
      </c>
      <c r="S44" s="16">
        <f t="shared" si="1"/>
        <v>6.1776061776061875E-2</v>
      </c>
      <c r="T44" s="16">
        <f t="shared" si="1"/>
        <v>5.2631578947368363E-2</v>
      </c>
      <c r="U44" s="16">
        <f t="shared" si="1"/>
        <v>1.7391304347825987E-2</v>
      </c>
      <c r="V44" s="16">
        <f t="shared" si="1"/>
        <v>6.3492063492063489E-2</v>
      </c>
    </row>
  </sheetData>
  <sortState ref="J33:Y53">
    <sortCondition ref="J33"/>
  </sortState>
  <conditionalFormatting sqref="B43:V44">
    <cfRule type="expression" dxfId="23" priority="1">
      <formula>B43&lt;=-0.0005</formula>
    </cfRule>
    <cfRule type="expression" dxfId="22" priority="2">
      <formula>B43&gt;=0.0005</formula>
    </cfRule>
    <cfRule type="expression" dxfId="21" priority="3">
      <formula>B43&lt;0.0005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pane xSplit="1" ySplit="1" topLeftCell="B14" activePane="bottomRight" state="frozenSplit"/>
      <selection pane="topRight" activeCell="B1" sqref="B1"/>
      <selection pane="bottomLeft" activeCell="A2" sqref="A2"/>
      <selection pane="bottomRight" activeCell="B42" sqref="B42"/>
    </sheetView>
  </sheetViews>
  <sheetFormatPr defaultRowHeight="15" x14ac:dyDescent="0.25"/>
  <cols>
    <col min="1" max="1" width="7.5703125" style="9" bestFit="1" customWidth="1"/>
    <col min="2" max="2" width="9.140625" style="6" bestFit="1" customWidth="1"/>
    <col min="3" max="3" width="12.42578125" style="7" bestFit="1" customWidth="1"/>
    <col min="4" max="4" width="17.85546875" style="7" bestFit="1" customWidth="1"/>
    <col min="5" max="6" width="15.85546875" style="7" bestFit="1" customWidth="1"/>
    <col min="7" max="7" width="14.140625" style="7" bestFit="1" customWidth="1"/>
    <col min="8" max="8" width="17.28515625" style="7" bestFit="1" customWidth="1"/>
    <col min="9" max="9" width="12.7109375" style="7" bestFit="1" customWidth="1"/>
    <col min="10" max="10" width="12.42578125" style="7" bestFit="1" customWidth="1"/>
    <col min="11" max="11" width="11.85546875" style="7" bestFit="1" customWidth="1"/>
    <col min="12" max="12" width="16.140625" style="7" bestFit="1" customWidth="1"/>
    <col min="13" max="13" width="11.140625" style="7" bestFit="1" customWidth="1"/>
    <col min="14" max="14" width="12.140625" style="7" bestFit="1" customWidth="1"/>
    <col min="15" max="15" width="14.85546875" style="7" bestFit="1" customWidth="1"/>
    <col min="16" max="16" width="14.140625" style="7" bestFit="1" customWidth="1"/>
    <col min="17" max="17" width="15.42578125" style="7" bestFit="1" customWidth="1"/>
    <col min="18" max="18" width="13.140625" style="7" bestFit="1" customWidth="1"/>
    <col min="19" max="19" width="16.5703125" style="7" bestFit="1" customWidth="1"/>
    <col min="20" max="20" width="10.7109375" style="7" bestFit="1" customWidth="1"/>
    <col min="21" max="21" width="12.42578125" style="7" bestFit="1" customWidth="1"/>
    <col min="22" max="22" width="10.28515625" style="7" bestFit="1" customWidth="1"/>
    <col min="23" max="23" width="12.42578125" style="7" bestFit="1" customWidth="1"/>
    <col min="24" max="24" width="7" style="8" bestFit="1" customWidth="1"/>
    <col min="25" max="16384" width="9.140625" style="8"/>
  </cols>
  <sheetData>
    <row r="1" spans="1:23" s="4" customFormat="1" x14ac:dyDescent="0.25">
      <c r="A1" s="1" t="s">
        <v>0</v>
      </c>
      <c r="B1" s="2" t="s">
        <v>1</v>
      </c>
      <c r="C1" s="3" t="s">
        <v>8</v>
      </c>
      <c r="D1" s="3" t="s">
        <v>7</v>
      </c>
      <c r="E1" s="3" t="s">
        <v>2</v>
      </c>
      <c r="F1" s="3" t="s">
        <v>15</v>
      </c>
      <c r="G1" s="3" t="s">
        <v>11</v>
      </c>
      <c r="H1" s="3" t="s">
        <v>6</v>
      </c>
      <c r="I1" s="3" t="s">
        <v>18</v>
      </c>
      <c r="J1" s="3" t="s">
        <v>20</v>
      </c>
      <c r="K1" s="3" t="s">
        <v>14</v>
      </c>
      <c r="L1" s="3" t="s">
        <v>4</v>
      </c>
      <c r="M1" s="3" t="s">
        <v>3</v>
      </c>
      <c r="N1" s="3" t="s">
        <v>9</v>
      </c>
      <c r="O1" s="3" t="s">
        <v>13</v>
      </c>
      <c r="P1" s="3" t="s">
        <v>17</v>
      </c>
      <c r="Q1" s="3" t="s">
        <v>12</v>
      </c>
      <c r="R1" s="3" t="s">
        <v>16</v>
      </c>
      <c r="S1" s="3" t="s">
        <v>5</v>
      </c>
      <c r="T1" s="3" t="s">
        <v>19</v>
      </c>
      <c r="U1" s="3" t="s">
        <v>10</v>
      </c>
      <c r="V1" s="66"/>
    </row>
    <row r="2" spans="1:23" x14ac:dyDescent="0.25">
      <c r="A2" s="5">
        <v>40179</v>
      </c>
      <c r="B2" s="6">
        <f>SUM(Listings_Total[[#This Row],[AZ | Phoenix]:[WA | Seattle]])</f>
        <v>272928</v>
      </c>
      <c r="C2" s="7">
        <v>30751</v>
      </c>
      <c r="D2" s="7">
        <v>21338</v>
      </c>
      <c r="E2" s="7">
        <v>23502</v>
      </c>
      <c r="F2" s="7">
        <v>10184</v>
      </c>
      <c r="G2" s="7">
        <v>8214</v>
      </c>
      <c r="H2" s="7">
        <v>6903</v>
      </c>
      <c r="I2" s="7">
        <v>2674</v>
      </c>
      <c r="J2" s="7">
        <v>2308</v>
      </c>
      <c r="K2" s="7">
        <v>13349</v>
      </c>
      <c r="L2" s="7">
        <v>13490</v>
      </c>
      <c r="M2" s="7">
        <v>32979</v>
      </c>
      <c r="N2" s="7">
        <v>12788</v>
      </c>
      <c r="O2" s="7">
        <v>7907</v>
      </c>
      <c r="P2" s="7">
        <v>19330</v>
      </c>
      <c r="Q2" s="7">
        <v>21728</v>
      </c>
      <c r="R2" s="7">
        <v>10149</v>
      </c>
      <c r="S2" s="7">
        <v>10468</v>
      </c>
      <c r="T2" s="7">
        <v>10001</v>
      </c>
      <c r="U2" s="7">
        <v>14865</v>
      </c>
      <c r="W2" s="8"/>
    </row>
    <row r="3" spans="1:23" x14ac:dyDescent="0.25">
      <c r="A3" s="5">
        <v>40210</v>
      </c>
      <c r="B3" s="6">
        <f>SUM(Listings_Total[[#This Row],[AZ | Phoenix]:[WA | Seattle]])</f>
        <v>285530</v>
      </c>
      <c r="C3" s="7">
        <v>31089</v>
      </c>
      <c r="D3" s="7">
        <v>22064</v>
      </c>
      <c r="E3" s="7">
        <v>24906</v>
      </c>
      <c r="F3" s="7">
        <v>10574</v>
      </c>
      <c r="G3" s="7">
        <v>8666</v>
      </c>
      <c r="H3" s="7">
        <v>7617</v>
      </c>
      <c r="I3" s="7">
        <v>2948</v>
      </c>
      <c r="J3" s="7">
        <v>2460</v>
      </c>
      <c r="K3" s="7">
        <v>14736</v>
      </c>
      <c r="L3" s="7">
        <v>13528</v>
      </c>
      <c r="M3" s="7">
        <v>34251</v>
      </c>
      <c r="N3" s="7">
        <v>13863</v>
      </c>
      <c r="O3" s="7">
        <v>7885</v>
      </c>
      <c r="P3" s="7">
        <v>19892</v>
      </c>
      <c r="Q3" s="7">
        <v>22407</v>
      </c>
      <c r="R3" s="7">
        <v>10655</v>
      </c>
      <c r="S3" s="7">
        <v>11415</v>
      </c>
      <c r="T3" s="7">
        <v>10979</v>
      </c>
      <c r="U3" s="7">
        <v>15595</v>
      </c>
      <c r="W3" s="8"/>
    </row>
    <row r="4" spans="1:23" x14ac:dyDescent="0.25">
      <c r="A4" s="5">
        <v>40238</v>
      </c>
      <c r="B4" s="6">
        <f>SUM(Listings_Total[[#This Row],[AZ | Phoenix]:[WA | Seattle]])</f>
        <v>305294</v>
      </c>
      <c r="C4" s="7">
        <v>31272</v>
      </c>
      <c r="D4" s="7">
        <v>22389</v>
      </c>
      <c r="E4" s="7">
        <v>26649</v>
      </c>
      <c r="F4" s="7">
        <v>11166</v>
      </c>
      <c r="G4" s="7">
        <v>9342</v>
      </c>
      <c r="H4" s="7">
        <v>8601</v>
      </c>
      <c r="I4" s="7">
        <v>3300</v>
      </c>
      <c r="J4" s="7">
        <v>2639</v>
      </c>
      <c r="K4" s="7">
        <v>16221</v>
      </c>
      <c r="L4" s="7">
        <v>14816</v>
      </c>
      <c r="M4" s="7">
        <v>36366</v>
      </c>
      <c r="N4" s="7">
        <v>16367</v>
      </c>
      <c r="O4" s="7">
        <v>8662</v>
      </c>
      <c r="P4" s="7">
        <v>20173</v>
      </c>
      <c r="Q4" s="7">
        <v>23739</v>
      </c>
      <c r="R4" s="7">
        <v>11295</v>
      </c>
      <c r="S4" s="7">
        <v>13115</v>
      </c>
      <c r="T4" s="7">
        <v>12390</v>
      </c>
      <c r="U4" s="7">
        <v>16792</v>
      </c>
      <c r="W4" s="8"/>
    </row>
    <row r="5" spans="1:23" x14ac:dyDescent="0.25">
      <c r="A5" s="5">
        <v>40269</v>
      </c>
      <c r="B5" s="6">
        <f>SUM(Listings_Total[[#This Row],[AZ | Phoenix]:[WA | Seattle]])</f>
        <v>317175</v>
      </c>
      <c r="C5" s="7">
        <v>30442</v>
      </c>
      <c r="D5" s="7">
        <v>22543</v>
      </c>
      <c r="E5" s="7">
        <v>27620</v>
      </c>
      <c r="F5" s="7">
        <v>11516</v>
      </c>
      <c r="G5" s="7">
        <v>9597</v>
      </c>
      <c r="H5" s="7">
        <v>9315</v>
      </c>
      <c r="I5" s="7">
        <v>3527</v>
      </c>
      <c r="J5" s="7">
        <v>2762</v>
      </c>
      <c r="K5" s="7">
        <v>17298</v>
      </c>
      <c r="L5" s="7">
        <v>16075</v>
      </c>
      <c r="M5" s="7">
        <v>37120</v>
      </c>
      <c r="N5" s="7">
        <v>17798</v>
      </c>
      <c r="O5" s="7">
        <v>9306</v>
      </c>
      <c r="P5" s="7">
        <v>20574</v>
      </c>
      <c r="Q5" s="7">
        <v>25063</v>
      </c>
      <c r="R5" s="7">
        <v>11243</v>
      </c>
      <c r="S5" s="7">
        <v>14199</v>
      </c>
      <c r="T5" s="7">
        <v>13819</v>
      </c>
      <c r="U5" s="7">
        <v>17358</v>
      </c>
      <c r="W5" s="8"/>
    </row>
    <row r="6" spans="1:23" x14ac:dyDescent="0.25">
      <c r="A6" s="5">
        <v>40299</v>
      </c>
      <c r="B6" s="6">
        <f>SUM(Listings_Total[[#This Row],[AZ | Phoenix]:[WA | Seattle]])</f>
        <v>317979</v>
      </c>
      <c r="C6" s="7">
        <v>30237</v>
      </c>
      <c r="D6" s="7">
        <v>22912</v>
      </c>
      <c r="E6" s="7">
        <v>28185</v>
      </c>
      <c r="F6" s="7">
        <v>11752</v>
      </c>
      <c r="G6" s="7">
        <v>9819</v>
      </c>
      <c r="H6" s="7">
        <v>9457</v>
      </c>
      <c r="I6" s="7">
        <v>3543</v>
      </c>
      <c r="J6" s="7">
        <v>2812</v>
      </c>
      <c r="K6" s="7">
        <v>16087</v>
      </c>
      <c r="L6" s="7">
        <v>16232</v>
      </c>
      <c r="M6" s="7">
        <v>37404</v>
      </c>
      <c r="N6" s="7">
        <v>17647</v>
      </c>
      <c r="O6" s="7">
        <v>9540</v>
      </c>
      <c r="P6" s="7">
        <v>20516</v>
      </c>
      <c r="Q6" s="7">
        <v>25607</v>
      </c>
      <c r="R6" s="7">
        <v>11531</v>
      </c>
      <c r="S6" s="7">
        <v>13171</v>
      </c>
      <c r="T6" s="7">
        <v>13472</v>
      </c>
      <c r="U6" s="7">
        <v>18055</v>
      </c>
      <c r="W6" s="8"/>
    </row>
    <row r="7" spans="1:23" x14ac:dyDescent="0.25">
      <c r="A7" s="5">
        <v>40330</v>
      </c>
      <c r="B7" s="6">
        <f>SUM(Listings_Total[[#This Row],[AZ | Phoenix]:[WA | Seattle]])</f>
        <v>328047</v>
      </c>
      <c r="C7" s="7">
        <v>31218</v>
      </c>
      <c r="D7" s="7">
        <v>23290</v>
      </c>
      <c r="E7" s="7">
        <v>29472</v>
      </c>
      <c r="F7" s="7">
        <v>12270</v>
      </c>
      <c r="G7" s="7">
        <v>10324</v>
      </c>
      <c r="H7" s="7">
        <v>10204</v>
      </c>
      <c r="I7" s="7">
        <v>3888</v>
      </c>
      <c r="J7" s="7">
        <v>2982</v>
      </c>
      <c r="K7" s="7">
        <v>16244</v>
      </c>
      <c r="L7" s="7">
        <v>16664</v>
      </c>
      <c r="M7" s="7">
        <v>38850</v>
      </c>
      <c r="N7" s="7">
        <v>18117</v>
      </c>
      <c r="O7" s="7">
        <v>9953</v>
      </c>
      <c r="P7" s="7">
        <v>20964</v>
      </c>
      <c r="Q7" s="7">
        <v>26396</v>
      </c>
      <c r="R7" s="7">
        <v>12033</v>
      </c>
      <c r="S7" s="7">
        <v>12076</v>
      </c>
      <c r="T7" s="7">
        <v>13857</v>
      </c>
      <c r="U7" s="7">
        <v>19245</v>
      </c>
      <c r="W7" s="8"/>
    </row>
    <row r="8" spans="1:23" x14ac:dyDescent="0.25">
      <c r="A8" s="5">
        <v>40360</v>
      </c>
      <c r="B8" s="6">
        <f>SUM(Listings_Total[[#This Row],[AZ | Phoenix]:[WA | Seattle]])</f>
        <v>330982</v>
      </c>
      <c r="C8" s="7">
        <v>32007</v>
      </c>
      <c r="D8" s="7">
        <v>23311</v>
      </c>
      <c r="E8" s="7">
        <v>30595</v>
      </c>
      <c r="F8" s="7">
        <v>12584</v>
      </c>
      <c r="G8" s="7">
        <v>10501</v>
      </c>
      <c r="H8" s="7">
        <v>10603</v>
      </c>
      <c r="I8" s="7">
        <v>4088</v>
      </c>
      <c r="J8" s="7">
        <v>3141</v>
      </c>
      <c r="K8" s="7">
        <v>16143</v>
      </c>
      <c r="L8" s="7">
        <v>16733</v>
      </c>
      <c r="M8" s="7">
        <v>38991</v>
      </c>
      <c r="N8" s="7">
        <v>17973</v>
      </c>
      <c r="O8" s="7">
        <v>10000</v>
      </c>
      <c r="P8" s="7">
        <v>20680</v>
      </c>
      <c r="Q8" s="7">
        <v>26059</v>
      </c>
      <c r="R8" s="7">
        <v>12283</v>
      </c>
      <c r="S8" s="7">
        <v>11898</v>
      </c>
      <c r="T8" s="7">
        <v>13794</v>
      </c>
      <c r="U8" s="7">
        <v>19598</v>
      </c>
      <c r="W8" s="8"/>
    </row>
    <row r="9" spans="1:23" x14ac:dyDescent="0.25">
      <c r="A9" s="5">
        <v>40391</v>
      </c>
      <c r="B9" s="6">
        <f>SUM(Listings_Total[[#This Row],[AZ | Phoenix]:[WA | Seattle]])</f>
        <v>333788</v>
      </c>
      <c r="C9" s="7">
        <v>33213</v>
      </c>
      <c r="D9" s="7">
        <v>23990</v>
      </c>
      <c r="E9" s="7">
        <v>30899</v>
      </c>
      <c r="F9" s="7">
        <v>12802</v>
      </c>
      <c r="G9" s="7">
        <v>10460</v>
      </c>
      <c r="H9" s="7">
        <v>10691</v>
      </c>
      <c r="I9" s="7">
        <v>4189</v>
      </c>
      <c r="J9" s="7">
        <v>3145</v>
      </c>
      <c r="K9" s="7">
        <v>16192</v>
      </c>
      <c r="L9" s="7">
        <v>16654</v>
      </c>
      <c r="M9" s="7">
        <v>38881</v>
      </c>
      <c r="N9" s="7">
        <v>17748</v>
      </c>
      <c r="O9" s="7">
        <v>9964</v>
      </c>
      <c r="P9" s="7">
        <v>21491</v>
      </c>
      <c r="Q9" s="7">
        <v>25906</v>
      </c>
      <c r="R9" s="7">
        <v>12453</v>
      </c>
      <c r="S9" s="7">
        <v>12214</v>
      </c>
      <c r="T9" s="7">
        <v>13338</v>
      </c>
      <c r="U9" s="7">
        <v>19558</v>
      </c>
      <c r="W9" s="8"/>
    </row>
    <row r="10" spans="1:23" x14ac:dyDescent="0.25">
      <c r="A10" s="5">
        <v>40422</v>
      </c>
      <c r="B10" s="6">
        <f>SUM(Listings_Total[[#This Row],[AZ | Phoenix]:[WA | Seattle]])</f>
        <v>333368</v>
      </c>
      <c r="C10" s="7">
        <v>34388</v>
      </c>
      <c r="D10" s="7">
        <v>24202</v>
      </c>
      <c r="E10" s="7">
        <v>30668</v>
      </c>
      <c r="F10" s="7">
        <v>12817</v>
      </c>
      <c r="G10" s="7">
        <v>10244</v>
      </c>
      <c r="H10" s="7">
        <v>11166</v>
      </c>
      <c r="I10" s="7">
        <v>4216</v>
      </c>
      <c r="J10" s="7">
        <v>3130</v>
      </c>
      <c r="K10" s="7">
        <v>15922</v>
      </c>
      <c r="L10" s="7">
        <v>17022</v>
      </c>
      <c r="M10" s="7">
        <v>38340</v>
      </c>
      <c r="N10" s="7">
        <v>18174</v>
      </c>
      <c r="O10" s="7">
        <v>10023</v>
      </c>
      <c r="P10" s="7">
        <v>21390</v>
      </c>
      <c r="Q10" s="7">
        <v>25787</v>
      </c>
      <c r="R10" s="7">
        <v>12246</v>
      </c>
      <c r="S10" s="7">
        <v>12603</v>
      </c>
      <c r="T10" s="7">
        <v>11917</v>
      </c>
      <c r="U10" s="7">
        <v>19113</v>
      </c>
      <c r="W10" s="8"/>
    </row>
    <row r="11" spans="1:23" x14ac:dyDescent="0.25">
      <c r="A11" s="5">
        <v>40452</v>
      </c>
      <c r="B11" s="6">
        <f>SUM(Listings_Total[[#This Row],[AZ | Phoenix]:[WA | Seattle]])</f>
        <v>319973</v>
      </c>
      <c r="C11" s="7">
        <v>34456</v>
      </c>
      <c r="D11" s="7">
        <v>24027</v>
      </c>
      <c r="E11" s="7">
        <v>29345</v>
      </c>
      <c r="F11" s="7">
        <v>12472</v>
      </c>
      <c r="G11" s="7">
        <v>9628</v>
      </c>
      <c r="H11" s="7">
        <v>10735</v>
      </c>
      <c r="I11" s="7">
        <v>3863</v>
      </c>
      <c r="J11" s="7">
        <v>3069</v>
      </c>
      <c r="K11" s="7">
        <v>14839</v>
      </c>
      <c r="L11" s="7">
        <v>16455</v>
      </c>
      <c r="M11" s="7">
        <v>36446</v>
      </c>
      <c r="N11" s="7">
        <v>17927</v>
      </c>
      <c r="O11" s="7">
        <v>9574</v>
      </c>
      <c r="P11" s="7">
        <v>20608</v>
      </c>
      <c r="Q11" s="7">
        <v>24701</v>
      </c>
      <c r="R11" s="7">
        <v>11637</v>
      </c>
      <c r="S11" s="7">
        <v>12378</v>
      </c>
      <c r="T11" s="7">
        <v>9703</v>
      </c>
      <c r="U11" s="7">
        <v>18110</v>
      </c>
      <c r="W11" s="8"/>
    </row>
    <row r="12" spans="1:23" x14ac:dyDescent="0.25">
      <c r="A12" s="5">
        <v>40483</v>
      </c>
      <c r="B12" s="6">
        <f>SUM(Listings_Total[[#This Row],[AZ | Phoenix]:[WA | Seattle]])</f>
        <v>307641</v>
      </c>
      <c r="C12" s="7">
        <v>34580</v>
      </c>
      <c r="D12" s="7">
        <v>24117</v>
      </c>
      <c r="E12" s="7">
        <v>28321</v>
      </c>
      <c r="F12" s="7">
        <v>12181</v>
      </c>
      <c r="G12" s="7">
        <v>9261</v>
      </c>
      <c r="H12" s="7">
        <v>9786</v>
      </c>
      <c r="I12" s="7">
        <v>3523</v>
      </c>
      <c r="J12" s="7">
        <v>2967</v>
      </c>
      <c r="K12" s="7">
        <v>14002</v>
      </c>
      <c r="L12" s="7">
        <v>15336</v>
      </c>
      <c r="M12" s="7">
        <v>34991</v>
      </c>
      <c r="N12" s="7">
        <v>16465</v>
      </c>
      <c r="O12" s="7">
        <v>9000</v>
      </c>
      <c r="P12" s="7">
        <v>20744</v>
      </c>
      <c r="Q12" s="7">
        <v>23635</v>
      </c>
      <c r="R12" s="7">
        <v>10955</v>
      </c>
      <c r="S12" s="7">
        <v>12394</v>
      </c>
      <c r="T12" s="7">
        <v>8551</v>
      </c>
      <c r="U12" s="7">
        <v>16832</v>
      </c>
      <c r="W12" s="8"/>
    </row>
    <row r="13" spans="1:23" x14ac:dyDescent="0.25">
      <c r="A13" s="5">
        <v>40513</v>
      </c>
      <c r="B13" s="6">
        <f>SUM(Listings_Total[[#This Row],[AZ | Phoenix]:[WA | Seattle]])</f>
        <v>286028</v>
      </c>
      <c r="C13" s="7">
        <v>33474</v>
      </c>
      <c r="D13" s="7">
        <v>23656</v>
      </c>
      <c r="E13" s="7">
        <v>26341</v>
      </c>
      <c r="F13" s="7">
        <v>11675</v>
      </c>
      <c r="G13" s="7">
        <v>8764</v>
      </c>
      <c r="H13" s="7">
        <v>8385</v>
      </c>
      <c r="I13" s="7">
        <v>3070</v>
      </c>
      <c r="J13" s="7">
        <v>2807</v>
      </c>
      <c r="K13" s="7">
        <v>11905</v>
      </c>
      <c r="L13" s="7">
        <v>14223</v>
      </c>
      <c r="M13" s="7">
        <v>33303</v>
      </c>
      <c r="N13" s="7">
        <v>13574</v>
      </c>
      <c r="O13" s="7">
        <v>8389</v>
      </c>
      <c r="P13" s="7">
        <v>19841</v>
      </c>
      <c r="Q13" s="7">
        <v>21410</v>
      </c>
      <c r="R13" s="7">
        <v>10246</v>
      </c>
      <c r="S13" s="7">
        <v>11506</v>
      </c>
      <c r="T13" s="7">
        <v>7841</v>
      </c>
      <c r="U13" s="7">
        <v>15618</v>
      </c>
      <c r="W13" s="8"/>
    </row>
    <row r="14" spans="1:23" x14ac:dyDescent="0.25">
      <c r="A14" s="5">
        <v>40544</v>
      </c>
      <c r="B14" s="6">
        <f>SUM(Listings_Total[[#This Row],[AZ | Phoenix]:[WA | Seattle]])</f>
        <v>285167</v>
      </c>
      <c r="C14" s="7">
        <v>32867</v>
      </c>
      <c r="D14" s="7">
        <v>24191</v>
      </c>
      <c r="E14" s="7">
        <v>27268</v>
      </c>
      <c r="F14" s="7">
        <v>11683</v>
      </c>
      <c r="G14" s="7">
        <v>9061</v>
      </c>
      <c r="H14" s="7">
        <v>8639</v>
      </c>
      <c r="I14" s="7">
        <v>3116</v>
      </c>
      <c r="J14" s="7">
        <v>2931</v>
      </c>
      <c r="K14" s="7">
        <v>11408</v>
      </c>
      <c r="L14" s="7">
        <v>13887</v>
      </c>
      <c r="M14" s="7">
        <v>33334</v>
      </c>
      <c r="N14" s="7">
        <v>12264</v>
      </c>
      <c r="O14" s="7">
        <v>8192</v>
      </c>
      <c r="P14" s="7">
        <v>20119</v>
      </c>
      <c r="Q14" s="7">
        <v>21071</v>
      </c>
      <c r="R14" s="7">
        <v>10174</v>
      </c>
      <c r="S14" s="7">
        <v>12120</v>
      </c>
      <c r="T14" s="7">
        <v>7598</v>
      </c>
      <c r="U14" s="7">
        <v>15244</v>
      </c>
      <c r="W14" s="8"/>
    </row>
    <row r="15" spans="1:23" x14ac:dyDescent="0.25">
      <c r="A15" s="5">
        <v>40575</v>
      </c>
      <c r="B15" s="6">
        <f>SUM(Listings_Total[[#This Row],[AZ | Phoenix]:[WA | Seattle]])</f>
        <v>286593</v>
      </c>
      <c r="C15" s="7">
        <v>30789</v>
      </c>
      <c r="D15" s="7">
        <v>23948</v>
      </c>
      <c r="E15" s="7">
        <v>27875</v>
      </c>
      <c r="F15" s="7">
        <v>11716</v>
      </c>
      <c r="G15" s="7">
        <v>9139</v>
      </c>
      <c r="H15" s="7">
        <v>8933</v>
      </c>
      <c r="I15" s="7">
        <v>3192</v>
      </c>
      <c r="J15" s="7">
        <v>2942</v>
      </c>
      <c r="K15" s="7">
        <v>11277</v>
      </c>
      <c r="L15" s="7">
        <v>13994</v>
      </c>
      <c r="M15" s="7">
        <v>33976</v>
      </c>
      <c r="N15" s="7">
        <v>12264</v>
      </c>
      <c r="O15" s="7">
        <v>8140</v>
      </c>
      <c r="P15" s="7">
        <v>20394</v>
      </c>
      <c r="Q15" s="7">
        <v>21589</v>
      </c>
      <c r="R15" s="7">
        <v>10348</v>
      </c>
      <c r="S15" s="7">
        <v>13040</v>
      </c>
      <c r="T15" s="7">
        <v>7705</v>
      </c>
      <c r="U15" s="7">
        <v>15332</v>
      </c>
      <c r="W15" s="8"/>
    </row>
    <row r="16" spans="1:23" x14ac:dyDescent="0.25">
      <c r="A16" s="5">
        <v>40603</v>
      </c>
      <c r="B16" s="6">
        <f>SUM(Listings_Total[[#This Row],[AZ | Phoenix]:[WA | Seattle]])</f>
        <v>292822</v>
      </c>
      <c r="C16" s="7">
        <v>27971</v>
      </c>
      <c r="D16" s="7">
        <v>23402</v>
      </c>
      <c r="E16" s="7">
        <v>28117</v>
      </c>
      <c r="F16" s="7">
        <v>11538</v>
      </c>
      <c r="G16" s="7">
        <v>9297</v>
      </c>
      <c r="H16" s="7">
        <v>9386</v>
      </c>
      <c r="I16" s="7">
        <v>3210</v>
      </c>
      <c r="J16" s="7">
        <v>3032</v>
      </c>
      <c r="K16" s="7">
        <v>11669</v>
      </c>
      <c r="L16" s="7">
        <v>14954</v>
      </c>
      <c r="M16" s="7">
        <v>34984</v>
      </c>
      <c r="N16" s="7">
        <v>14502</v>
      </c>
      <c r="O16" s="7">
        <v>8538</v>
      </c>
      <c r="P16" s="7">
        <v>20041</v>
      </c>
      <c r="Q16" s="7">
        <v>23318</v>
      </c>
      <c r="R16" s="7">
        <v>10369</v>
      </c>
      <c r="S16" s="7">
        <v>14520</v>
      </c>
      <c r="T16" s="7">
        <v>8384</v>
      </c>
      <c r="U16" s="7">
        <v>15590</v>
      </c>
      <c r="W16" s="8"/>
    </row>
    <row r="17" spans="1:23" x14ac:dyDescent="0.25">
      <c r="A17" s="5">
        <v>40634</v>
      </c>
      <c r="B17" s="6">
        <f>SUM(Listings_Total[[#This Row],[AZ | Phoenix]:[WA | Seattle]])</f>
        <v>298574</v>
      </c>
      <c r="C17" s="7">
        <v>25267</v>
      </c>
      <c r="D17" s="7">
        <v>22805</v>
      </c>
      <c r="E17" s="7">
        <v>28731</v>
      </c>
      <c r="F17" s="7">
        <v>11718</v>
      </c>
      <c r="G17" s="7">
        <v>9411</v>
      </c>
      <c r="H17" s="7">
        <v>9756</v>
      </c>
      <c r="I17" s="7">
        <v>3383</v>
      </c>
      <c r="J17" s="7">
        <v>3091</v>
      </c>
      <c r="K17" s="7">
        <v>11831</v>
      </c>
      <c r="L17" s="7">
        <v>16024</v>
      </c>
      <c r="M17" s="7">
        <v>35263</v>
      </c>
      <c r="N17" s="7">
        <v>16429</v>
      </c>
      <c r="O17" s="7">
        <v>9165</v>
      </c>
      <c r="P17" s="7">
        <v>20056</v>
      </c>
      <c r="Q17" s="7">
        <v>24675</v>
      </c>
      <c r="R17" s="7">
        <v>10399</v>
      </c>
      <c r="S17" s="7">
        <v>15783</v>
      </c>
      <c r="T17" s="7">
        <v>8860</v>
      </c>
      <c r="U17" s="7">
        <v>15927</v>
      </c>
      <c r="W17" s="8"/>
    </row>
    <row r="18" spans="1:23" x14ac:dyDescent="0.25">
      <c r="A18" s="5">
        <v>40664</v>
      </c>
      <c r="B18" s="6">
        <f>SUM(Listings_Total[[#This Row],[AZ | Phoenix]:[WA | Seattle]])</f>
        <v>304680</v>
      </c>
      <c r="C18" s="7">
        <v>22955</v>
      </c>
      <c r="D18" s="7">
        <v>22600</v>
      </c>
      <c r="E18" s="7">
        <v>29441</v>
      </c>
      <c r="F18" s="7">
        <v>11585</v>
      </c>
      <c r="G18" s="7">
        <v>9692</v>
      </c>
      <c r="H18" s="7">
        <v>9861</v>
      </c>
      <c r="I18" s="7">
        <v>3448</v>
      </c>
      <c r="J18" s="7">
        <v>3195</v>
      </c>
      <c r="K18" s="7">
        <v>11968</v>
      </c>
      <c r="L18" s="7">
        <v>16443</v>
      </c>
      <c r="M18" s="7">
        <v>36369</v>
      </c>
      <c r="N18" s="7">
        <v>17944</v>
      </c>
      <c r="O18" s="7">
        <v>9576</v>
      </c>
      <c r="P18" s="7">
        <v>20605</v>
      </c>
      <c r="Q18" s="7">
        <v>26211</v>
      </c>
      <c r="R18" s="7">
        <v>10668</v>
      </c>
      <c r="S18" s="7">
        <v>16828</v>
      </c>
      <c r="T18" s="7">
        <v>9102</v>
      </c>
      <c r="U18" s="7">
        <v>16189</v>
      </c>
      <c r="W18" s="8"/>
    </row>
    <row r="19" spans="1:23" x14ac:dyDescent="0.25">
      <c r="A19" s="5">
        <v>40695</v>
      </c>
      <c r="B19" s="6">
        <f>SUM(Listings_Total[[#This Row],[AZ | Phoenix]:[WA | Seattle]])</f>
        <v>305332</v>
      </c>
      <c r="C19" s="7">
        <v>21190</v>
      </c>
      <c r="D19" s="7">
        <v>21943</v>
      </c>
      <c r="E19" s="7">
        <v>29548</v>
      </c>
      <c r="F19" s="7">
        <v>11422</v>
      </c>
      <c r="G19" s="7">
        <v>9807</v>
      </c>
      <c r="H19" s="7">
        <v>9840</v>
      </c>
      <c r="I19" s="7">
        <v>3490</v>
      </c>
      <c r="J19" s="7">
        <v>3188</v>
      </c>
      <c r="K19" s="7">
        <v>11997</v>
      </c>
      <c r="L19" s="7">
        <v>16433</v>
      </c>
      <c r="M19" s="7">
        <v>36886</v>
      </c>
      <c r="N19" s="7">
        <v>18561</v>
      </c>
      <c r="O19" s="7">
        <v>9589</v>
      </c>
      <c r="P19" s="7">
        <v>20709</v>
      </c>
      <c r="Q19" s="7">
        <v>26851</v>
      </c>
      <c r="R19" s="7">
        <v>10781</v>
      </c>
      <c r="S19" s="7">
        <v>17340</v>
      </c>
      <c r="T19" s="7">
        <v>9200</v>
      </c>
      <c r="U19" s="7">
        <v>16557</v>
      </c>
      <c r="W19" s="8"/>
    </row>
    <row r="20" spans="1:23" x14ac:dyDescent="0.25">
      <c r="A20" s="5">
        <v>40725</v>
      </c>
      <c r="B20" s="6">
        <f>SUM(Listings_Total[[#This Row],[AZ | Phoenix]:[WA | Seattle]])</f>
        <v>297798</v>
      </c>
      <c r="C20" s="7">
        <v>19528</v>
      </c>
      <c r="D20" s="7">
        <v>21010</v>
      </c>
      <c r="E20" s="7">
        <v>29296</v>
      </c>
      <c r="F20" s="7">
        <v>11289</v>
      </c>
      <c r="G20" s="7">
        <v>9659</v>
      </c>
      <c r="H20" s="7">
        <v>9485</v>
      </c>
      <c r="I20" s="7">
        <v>3363</v>
      </c>
      <c r="J20" s="7">
        <v>3093</v>
      </c>
      <c r="K20" s="7">
        <v>11646</v>
      </c>
      <c r="L20" s="7">
        <v>16000</v>
      </c>
      <c r="M20" s="7">
        <v>36419</v>
      </c>
      <c r="N20" s="7">
        <v>17861</v>
      </c>
      <c r="O20" s="7">
        <v>9473</v>
      </c>
      <c r="P20" s="7">
        <v>20309</v>
      </c>
      <c r="Q20" s="7">
        <v>26458</v>
      </c>
      <c r="R20" s="7">
        <v>10711</v>
      </c>
      <c r="S20" s="7">
        <v>17009</v>
      </c>
      <c r="T20" s="7">
        <v>8921</v>
      </c>
      <c r="U20" s="7">
        <v>16268</v>
      </c>
      <c r="W20" s="8"/>
    </row>
    <row r="21" spans="1:23" x14ac:dyDescent="0.25">
      <c r="A21" s="5">
        <v>40756</v>
      </c>
      <c r="B21" s="6">
        <f>SUM(Listings_Total[[#This Row],[AZ | Phoenix]:[WA | Seattle]])</f>
        <v>292038</v>
      </c>
      <c r="C21" s="7">
        <v>18729</v>
      </c>
      <c r="D21" s="7">
        <v>20919</v>
      </c>
      <c r="E21" s="7">
        <v>28627</v>
      </c>
      <c r="F21" s="7">
        <v>11131</v>
      </c>
      <c r="G21" s="7">
        <v>9404</v>
      </c>
      <c r="H21" s="7">
        <v>9115</v>
      </c>
      <c r="I21" s="7">
        <v>3249</v>
      </c>
      <c r="J21" s="7">
        <v>3027</v>
      </c>
      <c r="K21" s="7">
        <v>11240</v>
      </c>
      <c r="L21" s="7">
        <v>15588</v>
      </c>
      <c r="M21" s="7">
        <v>36161</v>
      </c>
      <c r="N21" s="7">
        <v>17520</v>
      </c>
      <c r="O21" s="7">
        <v>9278</v>
      </c>
      <c r="P21" s="7">
        <v>20422</v>
      </c>
      <c r="Q21" s="7">
        <v>25607</v>
      </c>
      <c r="R21" s="7">
        <v>10273</v>
      </c>
      <c r="S21" s="7">
        <v>17193</v>
      </c>
      <c r="T21" s="7">
        <v>8505</v>
      </c>
      <c r="U21" s="7">
        <v>16050</v>
      </c>
      <c r="W21" s="8"/>
    </row>
    <row r="22" spans="1:23" x14ac:dyDescent="0.25">
      <c r="A22" s="5">
        <v>40787</v>
      </c>
      <c r="B22" s="6">
        <f>SUM(Listings_Total[[#This Row],[AZ | Phoenix]:[WA | Seattle]])</f>
        <v>287470</v>
      </c>
      <c r="C22" s="7">
        <v>18639</v>
      </c>
      <c r="D22" s="7">
        <v>20821</v>
      </c>
      <c r="E22" s="7">
        <v>28072</v>
      </c>
      <c r="F22" s="7">
        <v>10900</v>
      </c>
      <c r="G22" s="7">
        <v>8984</v>
      </c>
      <c r="H22" s="7">
        <v>9087</v>
      </c>
      <c r="I22" s="7">
        <v>3119</v>
      </c>
      <c r="J22" s="7">
        <v>2849</v>
      </c>
      <c r="K22" s="7">
        <v>10642</v>
      </c>
      <c r="L22" s="7">
        <v>15518</v>
      </c>
      <c r="M22" s="7">
        <v>35489</v>
      </c>
      <c r="N22" s="7">
        <v>17555</v>
      </c>
      <c r="O22" s="7">
        <v>9073</v>
      </c>
      <c r="P22" s="7">
        <v>20062</v>
      </c>
      <c r="Q22" s="7">
        <v>25022</v>
      </c>
      <c r="R22" s="7">
        <v>9867</v>
      </c>
      <c r="S22" s="7">
        <v>18139</v>
      </c>
      <c r="T22" s="7">
        <v>7993</v>
      </c>
      <c r="U22" s="7">
        <v>15639</v>
      </c>
      <c r="W22" s="8"/>
    </row>
    <row r="23" spans="1:23" x14ac:dyDescent="0.25">
      <c r="A23" s="5">
        <v>40817</v>
      </c>
      <c r="B23" s="6">
        <f>SUM(Listings_Total[[#This Row],[AZ | Phoenix]:[WA | Seattle]])</f>
        <v>276974</v>
      </c>
      <c r="C23" s="7">
        <v>18778</v>
      </c>
      <c r="D23" s="7">
        <v>20357</v>
      </c>
      <c r="E23" s="7">
        <v>26703</v>
      </c>
      <c r="F23" s="7">
        <v>10508</v>
      </c>
      <c r="G23" s="7">
        <v>8606</v>
      </c>
      <c r="H23" s="7">
        <v>8548</v>
      </c>
      <c r="I23" s="7">
        <v>2936</v>
      </c>
      <c r="J23" s="7">
        <v>2671</v>
      </c>
      <c r="K23" s="7">
        <v>9781</v>
      </c>
      <c r="L23" s="7">
        <v>14618</v>
      </c>
      <c r="M23" s="7">
        <v>33639</v>
      </c>
      <c r="N23" s="7">
        <v>17005</v>
      </c>
      <c r="O23" s="7">
        <v>8644</v>
      </c>
      <c r="P23" s="7">
        <v>19778</v>
      </c>
      <c r="Q23" s="7">
        <v>24171</v>
      </c>
      <c r="R23" s="7">
        <v>9270</v>
      </c>
      <c r="S23" s="7">
        <v>18663</v>
      </c>
      <c r="T23" s="7">
        <v>7548</v>
      </c>
      <c r="U23" s="7">
        <v>14750</v>
      </c>
      <c r="W23" s="8"/>
    </row>
    <row r="24" spans="1:23" x14ac:dyDescent="0.25">
      <c r="A24" s="5">
        <v>40848</v>
      </c>
      <c r="B24" s="6">
        <f>SUM(Listings_Total[[#This Row],[AZ | Phoenix]:[WA | Seattle]])</f>
        <v>261922</v>
      </c>
      <c r="C24" s="7">
        <v>18327</v>
      </c>
      <c r="D24" s="7">
        <v>19873</v>
      </c>
      <c r="E24" s="7">
        <v>25260</v>
      </c>
      <c r="F24" s="7">
        <v>10058</v>
      </c>
      <c r="G24" s="7">
        <v>8004</v>
      </c>
      <c r="H24" s="7">
        <v>7497</v>
      </c>
      <c r="I24" s="7">
        <v>2526</v>
      </c>
      <c r="J24" s="7">
        <v>2385</v>
      </c>
      <c r="K24" s="7">
        <v>8712</v>
      </c>
      <c r="L24" s="7">
        <v>13430</v>
      </c>
      <c r="M24" s="7">
        <v>31689</v>
      </c>
      <c r="N24" s="7">
        <v>15431</v>
      </c>
      <c r="O24" s="7">
        <v>7899</v>
      </c>
      <c r="P24" s="7">
        <v>19216</v>
      </c>
      <c r="Q24" s="7">
        <v>22955</v>
      </c>
      <c r="R24" s="7">
        <v>8732</v>
      </c>
      <c r="S24" s="7">
        <v>19284</v>
      </c>
      <c r="T24" s="7">
        <v>6924</v>
      </c>
      <c r="U24" s="7">
        <v>13720</v>
      </c>
      <c r="W24" s="8"/>
    </row>
    <row r="25" spans="1:23" x14ac:dyDescent="0.25">
      <c r="A25" s="5">
        <v>40878</v>
      </c>
      <c r="B25" s="6">
        <f>SUM(Listings_Total[[#This Row],[AZ | Phoenix]:[WA | Seattle]])</f>
        <v>241470</v>
      </c>
      <c r="C25" s="7">
        <v>17352</v>
      </c>
      <c r="D25" s="7">
        <v>18733</v>
      </c>
      <c r="E25" s="7">
        <v>22920</v>
      </c>
      <c r="F25" s="7">
        <v>9245</v>
      </c>
      <c r="G25" s="7">
        <v>7056</v>
      </c>
      <c r="H25" s="7">
        <v>6194</v>
      </c>
      <c r="I25" s="7">
        <v>2039</v>
      </c>
      <c r="J25" s="7">
        <v>2099</v>
      </c>
      <c r="K25" s="7">
        <v>7767</v>
      </c>
      <c r="L25" s="7">
        <v>12080</v>
      </c>
      <c r="M25" s="7">
        <v>30082</v>
      </c>
      <c r="N25" s="7">
        <v>13184</v>
      </c>
      <c r="O25" s="7">
        <v>7234</v>
      </c>
      <c r="P25" s="7">
        <v>17847</v>
      </c>
      <c r="Q25" s="7">
        <v>21041</v>
      </c>
      <c r="R25" s="7">
        <v>8392</v>
      </c>
      <c r="S25" s="7">
        <v>19315</v>
      </c>
      <c r="T25" s="7">
        <v>6336</v>
      </c>
      <c r="U25" s="7">
        <v>12554</v>
      </c>
      <c r="W25" s="8"/>
    </row>
    <row r="26" spans="1:23" x14ac:dyDescent="0.25">
      <c r="A26" s="5">
        <v>40909</v>
      </c>
      <c r="B26" s="6">
        <f>SUM(Listings_Total[[#This Row],[AZ | Phoenix]:[WA | Seattle]])</f>
        <v>241164</v>
      </c>
      <c r="C26" s="7">
        <v>16893</v>
      </c>
      <c r="D26" s="7">
        <v>18691</v>
      </c>
      <c r="E26" s="7">
        <v>23174</v>
      </c>
      <c r="F26" s="7">
        <v>9172</v>
      </c>
      <c r="G26" s="7">
        <v>7033</v>
      </c>
      <c r="H26" s="7">
        <v>6295</v>
      </c>
      <c r="I26" s="7">
        <v>2080</v>
      </c>
      <c r="J26" s="7">
        <v>2103</v>
      </c>
      <c r="K26" s="7">
        <v>7499</v>
      </c>
      <c r="L26" s="7">
        <v>11596</v>
      </c>
      <c r="M26" s="7">
        <v>30091</v>
      </c>
      <c r="N26" s="7">
        <v>12338</v>
      </c>
      <c r="O26" s="7">
        <v>7022</v>
      </c>
      <c r="P26" s="7">
        <v>17779</v>
      </c>
      <c r="Q26" s="7">
        <v>21178</v>
      </c>
      <c r="R26" s="7">
        <v>8312</v>
      </c>
      <c r="S26" s="7">
        <v>21641</v>
      </c>
      <c r="T26" s="7">
        <v>6176</v>
      </c>
      <c r="U26" s="7">
        <v>12091</v>
      </c>
      <c r="W26" s="8"/>
    </row>
    <row r="27" spans="1:23" x14ac:dyDescent="0.25">
      <c r="A27" s="5">
        <v>40940</v>
      </c>
      <c r="B27" s="6">
        <f>SUM(Listings_Total[[#This Row],[AZ | Phoenix]:[WA | Seattle]])</f>
        <v>238745</v>
      </c>
      <c r="C27" s="7">
        <v>15530</v>
      </c>
      <c r="D27" s="7">
        <v>17701</v>
      </c>
      <c r="E27" s="7">
        <v>22355</v>
      </c>
      <c r="F27" s="7">
        <v>8976</v>
      </c>
      <c r="G27" s="7">
        <v>6792</v>
      </c>
      <c r="H27" s="7">
        <v>6013</v>
      </c>
      <c r="I27" s="7">
        <v>2017</v>
      </c>
      <c r="J27" s="7">
        <v>1964</v>
      </c>
      <c r="K27" s="7">
        <v>7364</v>
      </c>
      <c r="L27" s="7">
        <v>11672</v>
      </c>
      <c r="M27" s="7">
        <v>30268</v>
      </c>
      <c r="N27" s="7">
        <v>12968</v>
      </c>
      <c r="O27" s="7">
        <v>6947</v>
      </c>
      <c r="P27" s="7">
        <v>17417</v>
      </c>
      <c r="Q27" s="7">
        <v>21656</v>
      </c>
      <c r="R27" s="7">
        <v>8129</v>
      </c>
      <c r="S27" s="7">
        <v>23234</v>
      </c>
      <c r="T27" s="7">
        <v>6202</v>
      </c>
      <c r="U27" s="7">
        <v>11540</v>
      </c>
      <c r="W27" s="8"/>
    </row>
    <row r="28" spans="1:23" x14ac:dyDescent="0.25">
      <c r="A28" s="5">
        <v>40969</v>
      </c>
      <c r="B28" s="6">
        <f>SUM(Listings_Total[[#This Row],[AZ | Phoenix]:[WA | Seattle]])</f>
        <v>235994</v>
      </c>
      <c r="C28" s="7">
        <v>13883</v>
      </c>
      <c r="D28" s="7">
        <v>16169</v>
      </c>
      <c r="E28" s="7">
        <v>20806</v>
      </c>
      <c r="F28" s="7">
        <v>8565</v>
      </c>
      <c r="G28" s="7">
        <v>6376</v>
      </c>
      <c r="H28" s="7">
        <v>5579</v>
      </c>
      <c r="I28" s="7">
        <v>1815</v>
      </c>
      <c r="J28" s="7">
        <v>1773</v>
      </c>
      <c r="K28" s="7">
        <v>7472</v>
      </c>
      <c r="L28" s="7">
        <v>12393</v>
      </c>
      <c r="M28" s="7">
        <v>30584</v>
      </c>
      <c r="N28" s="7">
        <v>14996</v>
      </c>
      <c r="O28" s="7">
        <v>7255</v>
      </c>
      <c r="P28" s="7">
        <v>16657</v>
      </c>
      <c r="Q28" s="7">
        <v>22785</v>
      </c>
      <c r="R28" s="7">
        <v>8032</v>
      </c>
      <c r="S28" s="7">
        <v>23081</v>
      </c>
      <c r="T28" s="7">
        <v>6649</v>
      </c>
      <c r="U28" s="7">
        <v>11124</v>
      </c>
      <c r="W28" s="8"/>
    </row>
    <row r="29" spans="1:23" x14ac:dyDescent="0.25">
      <c r="A29" s="5">
        <v>41000</v>
      </c>
      <c r="B29" s="6">
        <f>SUM(Listings_Total[[#This Row],[AZ | Phoenix]:[WA | Seattle]])</f>
        <v>238481</v>
      </c>
      <c r="C29" s="7">
        <v>13252</v>
      </c>
      <c r="D29" s="7">
        <v>15130</v>
      </c>
      <c r="E29" s="7">
        <v>20260</v>
      </c>
      <c r="F29" s="7">
        <v>8341</v>
      </c>
      <c r="G29" s="7">
        <v>6131</v>
      </c>
      <c r="H29" s="7">
        <v>5554</v>
      </c>
      <c r="I29" s="7">
        <v>1719</v>
      </c>
      <c r="J29" s="7">
        <v>1680</v>
      </c>
      <c r="K29" s="7">
        <v>7712</v>
      </c>
      <c r="L29" s="7">
        <v>12990</v>
      </c>
      <c r="M29" s="7">
        <v>31065</v>
      </c>
      <c r="N29" s="7">
        <v>15973</v>
      </c>
      <c r="O29" s="7">
        <v>7710</v>
      </c>
      <c r="P29" s="7">
        <v>16483</v>
      </c>
      <c r="Q29" s="7">
        <v>23812</v>
      </c>
      <c r="R29" s="7">
        <v>8265</v>
      </c>
      <c r="S29" s="7">
        <v>24227</v>
      </c>
      <c r="T29" s="7">
        <v>6941</v>
      </c>
      <c r="U29" s="7">
        <v>11236</v>
      </c>
      <c r="W29" s="8"/>
    </row>
    <row r="30" spans="1:23" x14ac:dyDescent="0.25">
      <c r="A30" s="5">
        <v>41030</v>
      </c>
      <c r="B30" s="6">
        <f>SUM(Listings_Total[[#This Row],[AZ | Phoenix]:[WA | Seattle]])</f>
        <v>236456</v>
      </c>
      <c r="C30" s="7">
        <v>12850</v>
      </c>
      <c r="D30" s="7">
        <v>13878</v>
      </c>
      <c r="E30" s="7">
        <v>19249</v>
      </c>
      <c r="F30" s="7">
        <v>8028</v>
      </c>
      <c r="G30" s="7">
        <v>5856</v>
      </c>
      <c r="H30" s="7">
        <v>5246</v>
      </c>
      <c r="I30" s="7">
        <v>1744</v>
      </c>
      <c r="J30" s="7">
        <v>1574</v>
      </c>
      <c r="K30" s="7">
        <v>7964</v>
      </c>
      <c r="L30" s="7">
        <v>12987</v>
      </c>
      <c r="M30" s="7">
        <v>31075</v>
      </c>
      <c r="N30" s="7">
        <v>16614</v>
      </c>
      <c r="O30" s="7">
        <v>7865</v>
      </c>
      <c r="P30" s="7">
        <v>15919</v>
      </c>
      <c r="Q30" s="7">
        <v>24217</v>
      </c>
      <c r="R30" s="7">
        <v>8379</v>
      </c>
      <c r="S30" s="7">
        <v>24575</v>
      </c>
      <c r="T30" s="7">
        <v>7085</v>
      </c>
      <c r="U30" s="7">
        <v>11351</v>
      </c>
      <c r="W30" s="8"/>
    </row>
    <row r="31" spans="1:23" x14ac:dyDescent="0.25">
      <c r="A31" s="5">
        <v>41061</v>
      </c>
      <c r="B31" s="6">
        <f>SUM(Listings_Total[[#This Row],[AZ | Phoenix]:[WA | Seattle]])</f>
        <v>232796</v>
      </c>
      <c r="C31" s="7">
        <v>13225</v>
      </c>
      <c r="D31" s="7">
        <v>12926</v>
      </c>
      <c r="E31" s="7">
        <v>18394</v>
      </c>
      <c r="F31" s="7">
        <v>7763</v>
      </c>
      <c r="G31" s="7">
        <v>5661</v>
      </c>
      <c r="H31" s="7">
        <v>4874</v>
      </c>
      <c r="I31" s="7">
        <v>1721</v>
      </c>
      <c r="J31" s="7">
        <v>1516</v>
      </c>
      <c r="K31" s="7">
        <v>8207</v>
      </c>
      <c r="L31" s="7">
        <v>12719</v>
      </c>
      <c r="M31" s="7">
        <v>31140</v>
      </c>
      <c r="N31" s="7">
        <v>16277</v>
      </c>
      <c r="O31" s="7">
        <v>7823</v>
      </c>
      <c r="P31" s="7">
        <v>15466</v>
      </c>
      <c r="Q31" s="7">
        <v>23980</v>
      </c>
      <c r="R31" s="7">
        <v>8407</v>
      </c>
      <c r="S31" s="7">
        <v>24037</v>
      </c>
      <c r="T31" s="7">
        <v>7327</v>
      </c>
      <c r="U31" s="7">
        <v>11333</v>
      </c>
      <c r="W31" s="8"/>
    </row>
    <row r="32" spans="1:23" x14ac:dyDescent="0.25">
      <c r="A32" s="5">
        <v>41091</v>
      </c>
      <c r="B32" s="6">
        <f>SUM(Listings_Total[[#This Row],[AZ | Phoenix]:[WA | Seattle]])</f>
        <v>225546</v>
      </c>
      <c r="C32" s="7">
        <v>13582</v>
      </c>
      <c r="D32" s="7">
        <v>12021</v>
      </c>
      <c r="E32" s="7">
        <v>17805</v>
      </c>
      <c r="F32" s="7">
        <v>4884</v>
      </c>
      <c r="G32" s="7">
        <v>5487</v>
      </c>
      <c r="H32" s="7">
        <v>4687</v>
      </c>
      <c r="I32" s="7">
        <v>1732</v>
      </c>
      <c r="J32" s="7">
        <v>1472</v>
      </c>
      <c r="K32" s="7">
        <v>8115</v>
      </c>
      <c r="L32" s="7">
        <v>12190</v>
      </c>
      <c r="M32" s="7">
        <v>31041</v>
      </c>
      <c r="N32" s="7">
        <v>15047</v>
      </c>
      <c r="O32" s="7">
        <v>7712</v>
      </c>
      <c r="P32" s="7">
        <v>15719</v>
      </c>
      <c r="Q32" s="7">
        <v>23308</v>
      </c>
      <c r="R32" s="7">
        <v>8578</v>
      </c>
      <c r="S32" s="7">
        <v>23635</v>
      </c>
      <c r="T32" s="7">
        <v>7276</v>
      </c>
      <c r="U32" s="7">
        <v>11255</v>
      </c>
    </row>
    <row r="33" spans="1:21" x14ac:dyDescent="0.25">
      <c r="A33" s="5">
        <v>41122</v>
      </c>
      <c r="B33" s="6">
        <f>SUM(Listings_Total[[#This Row],[AZ | Phoenix]:[WA | Seattle]])</f>
        <v>218961</v>
      </c>
      <c r="C33" s="7">
        <v>14313</v>
      </c>
      <c r="D33" s="7">
        <v>11427</v>
      </c>
      <c r="E33" s="7">
        <v>16611</v>
      </c>
      <c r="F33" s="7">
        <v>4687</v>
      </c>
      <c r="G33" s="7">
        <v>5287</v>
      </c>
      <c r="H33" s="7">
        <v>4539</v>
      </c>
      <c r="I33" s="7">
        <v>1658</v>
      </c>
      <c r="J33" s="7">
        <v>1355</v>
      </c>
      <c r="K33" s="7">
        <v>7973</v>
      </c>
      <c r="L33" s="7">
        <v>11777</v>
      </c>
      <c r="M33" s="7">
        <v>30142</v>
      </c>
      <c r="N33" s="7">
        <v>14013</v>
      </c>
      <c r="O33" s="7">
        <v>7491</v>
      </c>
      <c r="P33" s="7">
        <v>15738</v>
      </c>
      <c r="Q33" s="7">
        <v>22363</v>
      </c>
      <c r="R33" s="7">
        <v>8543</v>
      </c>
      <c r="S33" s="7">
        <v>22791</v>
      </c>
      <c r="T33" s="7">
        <v>7000</v>
      </c>
      <c r="U33" s="7">
        <v>11253</v>
      </c>
    </row>
    <row r="34" spans="1:21" x14ac:dyDescent="0.25">
      <c r="A34" s="5">
        <v>41153</v>
      </c>
      <c r="B34" s="6">
        <f>SUM(Listings_Total[[#This Row],[AZ | Phoenix]:[WA | Seattle]])</f>
        <v>213088</v>
      </c>
      <c r="C34" s="7">
        <v>15017</v>
      </c>
      <c r="D34" s="7">
        <v>10926</v>
      </c>
      <c r="E34" s="7">
        <v>15317</v>
      </c>
      <c r="F34" s="7">
        <v>4462</v>
      </c>
      <c r="G34" s="7">
        <v>4961</v>
      </c>
      <c r="H34" s="7">
        <v>4366</v>
      </c>
      <c r="I34" s="7">
        <v>1566</v>
      </c>
      <c r="J34" s="7">
        <v>1210</v>
      </c>
      <c r="K34" s="7">
        <v>7586</v>
      </c>
      <c r="L34" s="7">
        <v>11852</v>
      </c>
      <c r="M34" s="7">
        <v>29177</v>
      </c>
      <c r="N34" s="7">
        <v>13657</v>
      </c>
      <c r="O34" s="7">
        <v>7420</v>
      </c>
      <c r="P34" s="7">
        <v>15510</v>
      </c>
      <c r="Q34" s="7">
        <v>22047</v>
      </c>
      <c r="R34" s="7">
        <v>8165</v>
      </c>
      <c r="S34" s="7">
        <v>22370</v>
      </c>
      <c r="T34" s="7">
        <v>6534</v>
      </c>
      <c r="U34" s="7">
        <v>10945</v>
      </c>
    </row>
    <row r="35" spans="1:21" x14ac:dyDescent="0.25">
      <c r="A35" s="5">
        <v>41183</v>
      </c>
      <c r="B35" s="6">
        <f>SUM(Listings_Total[[#This Row],[AZ | Phoenix]:[WA | Seattle]])</f>
        <v>204857</v>
      </c>
      <c r="C35" s="7">
        <v>16115</v>
      </c>
      <c r="D35" s="7">
        <v>10692</v>
      </c>
      <c r="E35" s="7">
        <v>14253</v>
      </c>
      <c r="F35" s="7">
        <v>4231</v>
      </c>
      <c r="G35" s="7">
        <v>4631</v>
      </c>
      <c r="H35" s="7">
        <v>3977</v>
      </c>
      <c r="I35" s="7">
        <v>1396</v>
      </c>
      <c r="J35" s="7">
        <v>1124</v>
      </c>
      <c r="K35" s="7">
        <v>7128</v>
      </c>
      <c r="L35" s="7">
        <v>11213</v>
      </c>
      <c r="M35" s="7">
        <v>28019</v>
      </c>
      <c r="N35" s="7">
        <v>12854</v>
      </c>
      <c r="O35" s="7">
        <v>7163</v>
      </c>
      <c r="P35" s="7">
        <v>15259</v>
      </c>
      <c r="Q35" s="7">
        <v>21230</v>
      </c>
      <c r="R35" s="7">
        <v>7625</v>
      </c>
      <c r="S35" s="7">
        <v>21756</v>
      </c>
      <c r="T35" s="7">
        <v>6111</v>
      </c>
      <c r="U35" s="7">
        <v>10080</v>
      </c>
    </row>
    <row r="36" spans="1:21" x14ac:dyDescent="0.25">
      <c r="A36" s="5">
        <v>41214</v>
      </c>
      <c r="B36" s="6">
        <f>SUM(Listings_Total[[#This Row],[AZ | Phoenix]:[WA | Seattle]])</f>
        <v>191242</v>
      </c>
      <c r="C36" s="7">
        <v>16727</v>
      </c>
      <c r="D36" s="7">
        <v>10426</v>
      </c>
      <c r="E36" s="7">
        <v>12932</v>
      </c>
      <c r="F36" s="7">
        <v>3791</v>
      </c>
      <c r="G36" s="7">
        <v>4243</v>
      </c>
      <c r="H36" s="7">
        <v>3198</v>
      </c>
      <c r="I36" s="7">
        <v>1094</v>
      </c>
      <c r="J36" s="7">
        <v>983</v>
      </c>
      <c r="K36" s="7">
        <v>6479</v>
      </c>
      <c r="L36" s="7">
        <v>10282</v>
      </c>
      <c r="M36" s="7">
        <v>26291</v>
      </c>
      <c r="N36" s="7">
        <v>11591</v>
      </c>
      <c r="O36" s="7">
        <v>6560</v>
      </c>
      <c r="P36" s="7">
        <v>14763</v>
      </c>
      <c r="Q36" s="7">
        <v>19620</v>
      </c>
      <c r="R36" s="7">
        <v>7028</v>
      </c>
      <c r="S36" s="7">
        <v>20563</v>
      </c>
      <c r="T36" s="7">
        <v>5672</v>
      </c>
      <c r="U36" s="7">
        <v>8999</v>
      </c>
    </row>
    <row r="37" spans="1:21" x14ac:dyDescent="0.25">
      <c r="A37" s="5">
        <v>41244</v>
      </c>
      <c r="B37" s="6">
        <f>SUM(Listings_Total[[#This Row],[AZ | Phoenix]:[WA | Seattle]])</f>
        <v>170200</v>
      </c>
      <c r="C37" s="7">
        <v>15960</v>
      </c>
      <c r="D37" s="7">
        <v>9571</v>
      </c>
      <c r="E37" s="7">
        <v>11003</v>
      </c>
      <c r="F37" s="7">
        <v>3241</v>
      </c>
      <c r="G37" s="7">
        <v>3603</v>
      </c>
      <c r="H37" s="7">
        <v>2348</v>
      </c>
      <c r="I37" s="7">
        <v>775</v>
      </c>
      <c r="J37" s="7">
        <v>883</v>
      </c>
      <c r="K37" s="7">
        <v>5625</v>
      </c>
      <c r="L37" s="7">
        <v>9017</v>
      </c>
      <c r="M37" s="7">
        <v>24514</v>
      </c>
      <c r="N37" s="7">
        <v>9261</v>
      </c>
      <c r="O37" s="7">
        <v>5847</v>
      </c>
      <c r="P37" s="7">
        <v>13432</v>
      </c>
      <c r="Q37" s="7">
        <v>17638</v>
      </c>
      <c r="R37" s="7">
        <v>6346</v>
      </c>
      <c r="S37" s="7">
        <v>18367</v>
      </c>
      <c r="T37" s="7">
        <v>4921</v>
      </c>
      <c r="U37" s="7">
        <v>7848</v>
      </c>
    </row>
    <row r="38" spans="1:21" x14ac:dyDescent="0.25">
      <c r="A38" s="5">
        <v>41275</v>
      </c>
      <c r="B38" s="6">
        <f>SUM(Listings_Total[[#This Row],[AZ | Phoenix]:[WA | Seattle]])</f>
        <v>166139</v>
      </c>
      <c r="C38" s="7">
        <v>15925</v>
      </c>
      <c r="D38" s="7">
        <v>9447</v>
      </c>
      <c r="E38" s="7">
        <v>10994</v>
      </c>
      <c r="F38" s="7">
        <v>3120</v>
      </c>
      <c r="G38" s="7">
        <v>3698</v>
      </c>
      <c r="H38" s="7">
        <v>2567</v>
      </c>
      <c r="I38" s="7">
        <v>879</v>
      </c>
      <c r="J38" s="7">
        <v>928</v>
      </c>
      <c r="K38" s="7">
        <v>5170</v>
      </c>
      <c r="L38" s="7">
        <v>8460</v>
      </c>
      <c r="M38" s="7">
        <v>23975</v>
      </c>
      <c r="N38" s="7">
        <v>8386</v>
      </c>
      <c r="O38" s="7">
        <v>5600</v>
      </c>
      <c r="P38" s="7">
        <v>13129</v>
      </c>
      <c r="Q38" s="7">
        <v>17634</v>
      </c>
      <c r="R38" s="7">
        <v>6089</v>
      </c>
      <c r="S38" s="7">
        <v>18143</v>
      </c>
      <c r="T38" s="7">
        <v>4517</v>
      </c>
      <c r="U38" s="7">
        <v>7478</v>
      </c>
    </row>
    <row r="39" spans="1:21" x14ac:dyDescent="0.25">
      <c r="A39" s="5">
        <v>41306</v>
      </c>
      <c r="B39" s="6">
        <f>SUM(Listings_Total[[#This Row],[AZ | Phoenix]:[WA | Seattle]])</f>
        <v>167014</v>
      </c>
      <c r="C39" s="7">
        <v>15671</v>
      </c>
      <c r="D39" s="7">
        <v>8896</v>
      </c>
      <c r="E39" s="7">
        <v>10557</v>
      </c>
      <c r="F39" s="7">
        <v>3139</v>
      </c>
      <c r="G39" s="7">
        <v>3667</v>
      </c>
      <c r="H39" s="7">
        <v>2782</v>
      </c>
      <c r="I39" s="7">
        <v>988</v>
      </c>
      <c r="J39" s="7">
        <v>912</v>
      </c>
      <c r="K39" s="7">
        <v>5022</v>
      </c>
      <c r="L39" s="7">
        <v>8549</v>
      </c>
      <c r="M39" s="7">
        <v>25050</v>
      </c>
      <c r="N39" s="7">
        <v>8171</v>
      </c>
      <c r="O39" s="7">
        <v>5650</v>
      </c>
      <c r="P39" s="7">
        <v>12858</v>
      </c>
      <c r="Q39" s="7">
        <v>18211</v>
      </c>
      <c r="R39" s="7">
        <v>6000</v>
      </c>
      <c r="S39" s="7">
        <v>19028</v>
      </c>
      <c r="T39" s="7">
        <v>4616</v>
      </c>
      <c r="U39" s="7">
        <v>7247</v>
      </c>
    </row>
    <row r="40" spans="1:21" x14ac:dyDescent="0.25">
      <c r="A40" s="5">
        <v>41334</v>
      </c>
      <c r="B40" s="6">
        <f>SUM(Listings_Total[[#This Row],[AZ | Phoenix]:[WA | Seattle]])</f>
        <v>166802</v>
      </c>
      <c r="C40" s="7">
        <v>14872</v>
      </c>
      <c r="D40" s="7">
        <v>8308</v>
      </c>
      <c r="E40" s="7">
        <v>9864</v>
      </c>
      <c r="F40" s="7">
        <v>3158</v>
      </c>
      <c r="G40" s="7">
        <v>3550</v>
      </c>
      <c r="H40" s="7">
        <v>2708</v>
      </c>
      <c r="I40" s="7">
        <v>967</v>
      </c>
      <c r="J40" s="7">
        <v>868</v>
      </c>
      <c r="K40" s="7">
        <v>4874</v>
      </c>
      <c r="L40" s="7">
        <v>8880</v>
      </c>
      <c r="M40" s="7">
        <v>26182</v>
      </c>
      <c r="N40" s="7">
        <v>8537</v>
      </c>
      <c r="O40" s="7">
        <v>5813</v>
      </c>
      <c r="P40" s="7">
        <v>12275</v>
      </c>
      <c r="Q40" s="7">
        <v>18688</v>
      </c>
      <c r="R40" s="7">
        <v>5865</v>
      </c>
      <c r="S40" s="7">
        <v>19998</v>
      </c>
      <c r="T40" s="7">
        <v>4491</v>
      </c>
      <c r="U40" s="7">
        <v>6904</v>
      </c>
    </row>
    <row r="41" spans="1:21" x14ac:dyDescent="0.25">
      <c r="A41" s="5">
        <v>41365</v>
      </c>
      <c r="B41" s="6">
        <f>SUM(Listings_Total[[#This Row],[AZ | Phoenix]:[WA | Seattle]])</f>
        <v>176978</v>
      </c>
      <c r="C41" s="7">
        <v>14103</v>
      </c>
      <c r="D41" s="7">
        <v>8427</v>
      </c>
      <c r="E41" s="7">
        <v>10959</v>
      </c>
      <c r="F41" s="7">
        <v>3576</v>
      </c>
      <c r="G41" s="7">
        <v>3785</v>
      </c>
      <c r="H41" s="7">
        <v>3439</v>
      </c>
      <c r="I41" s="7">
        <v>1196</v>
      </c>
      <c r="J41" s="7">
        <v>981</v>
      </c>
      <c r="K41" s="7">
        <v>5226</v>
      </c>
      <c r="L41" s="7">
        <v>9973</v>
      </c>
      <c r="M41" s="7">
        <v>26706</v>
      </c>
      <c r="N41" s="7">
        <v>8550</v>
      </c>
      <c r="O41" s="7">
        <v>6473</v>
      </c>
      <c r="P41" s="7">
        <v>12649</v>
      </c>
      <c r="Q41" s="7">
        <v>20425</v>
      </c>
      <c r="R41" s="7">
        <v>6321</v>
      </c>
      <c r="S41" s="7">
        <v>21697</v>
      </c>
      <c r="T41" s="7">
        <v>4985</v>
      </c>
      <c r="U41" s="7">
        <v>7507</v>
      </c>
    </row>
    <row r="42" spans="1:21" x14ac:dyDescent="0.25">
      <c r="A42" s="5">
        <v>41395</v>
      </c>
      <c r="B42" s="6">
        <f>SUM(Listings_Total[[#This Row],[AZ | Phoenix]:[WA | Seattle]])</f>
        <v>184673</v>
      </c>
      <c r="C42" s="7">
        <v>14656</v>
      </c>
      <c r="D42" s="7">
        <v>7815</v>
      </c>
      <c r="E42" s="7">
        <v>10813</v>
      </c>
      <c r="F42" s="7">
        <v>3639</v>
      </c>
      <c r="G42" s="7">
        <v>3832</v>
      </c>
      <c r="H42" s="7">
        <v>3421</v>
      </c>
      <c r="I42" s="7">
        <v>1296</v>
      </c>
      <c r="J42" s="7">
        <v>971</v>
      </c>
      <c r="K42" s="7">
        <v>5751</v>
      </c>
      <c r="L42" s="7">
        <v>10601</v>
      </c>
      <c r="M42" s="7">
        <v>31200</v>
      </c>
      <c r="N42" s="7">
        <v>8467</v>
      </c>
      <c r="O42" s="7">
        <v>6710</v>
      </c>
      <c r="P42" s="7">
        <v>12472</v>
      </c>
      <c r="Q42" s="7">
        <v>21070</v>
      </c>
      <c r="R42" s="7">
        <v>6583</v>
      </c>
      <c r="S42" s="7">
        <v>22284</v>
      </c>
      <c r="T42" s="7">
        <v>5212</v>
      </c>
      <c r="U42" s="7">
        <v>7880</v>
      </c>
    </row>
    <row r="43" spans="1:21" x14ac:dyDescent="0.25">
      <c r="A43" s="10" t="s">
        <v>21</v>
      </c>
      <c r="B43" s="10">
        <f>B42/B30-1</f>
        <v>-0.21899634604323848</v>
      </c>
      <c r="C43" s="16">
        <f t="shared" ref="C43:U43" si="0">C42/C30-1</f>
        <v>0.14054474708171205</v>
      </c>
      <c r="D43" s="16">
        <f t="shared" si="0"/>
        <v>-0.43687851275399914</v>
      </c>
      <c r="E43" s="16">
        <f t="shared" si="0"/>
        <v>-0.43825653280689902</v>
      </c>
      <c r="F43" s="16">
        <f t="shared" si="0"/>
        <v>-0.54671150971599403</v>
      </c>
      <c r="G43" s="16">
        <f t="shared" si="0"/>
        <v>-0.34562841530054644</v>
      </c>
      <c r="H43" s="16">
        <f t="shared" si="0"/>
        <v>-0.3478841021730843</v>
      </c>
      <c r="I43" s="16">
        <f t="shared" si="0"/>
        <v>-0.25688073394495414</v>
      </c>
      <c r="J43" s="16">
        <f t="shared" si="0"/>
        <v>-0.38310038119440915</v>
      </c>
      <c r="K43" s="16">
        <f t="shared" si="0"/>
        <v>-0.27787543947764948</v>
      </c>
      <c r="L43" s="16">
        <f t="shared" si="0"/>
        <v>-0.18372218372218374</v>
      </c>
      <c r="M43" s="16">
        <f t="shared" si="0"/>
        <v>4.022526146419958E-3</v>
      </c>
      <c r="N43" s="16">
        <f t="shared" si="0"/>
        <v>-0.49036956783435659</v>
      </c>
      <c r="O43" s="16">
        <f t="shared" si="0"/>
        <v>-0.14685314685314688</v>
      </c>
      <c r="P43" s="16">
        <f t="shared" si="0"/>
        <v>-0.21653370186569509</v>
      </c>
      <c r="Q43" s="16">
        <f t="shared" si="0"/>
        <v>-0.12995003509931036</v>
      </c>
      <c r="R43" s="16">
        <f t="shared" si="0"/>
        <v>-0.21434538727771812</v>
      </c>
      <c r="S43" s="16">
        <f t="shared" si="0"/>
        <v>-9.3224821973550309E-2</v>
      </c>
      <c r="T43" s="16">
        <f t="shared" si="0"/>
        <v>-0.26436132674664781</v>
      </c>
      <c r="U43" s="16">
        <f t="shared" si="0"/>
        <v>-0.30578803629636153</v>
      </c>
    </row>
    <row r="44" spans="1:21" x14ac:dyDescent="0.25">
      <c r="A44" s="10" t="s">
        <v>22</v>
      </c>
      <c r="B44" s="10">
        <f>B42/B41-1</f>
        <v>4.3479980562555864E-2</v>
      </c>
      <c r="C44" s="16">
        <f t="shared" ref="C44:U44" si="1">C42/C41-1</f>
        <v>3.9211515280436871E-2</v>
      </c>
      <c r="D44" s="16">
        <f t="shared" si="1"/>
        <v>-7.2623709505161949E-2</v>
      </c>
      <c r="E44" s="16">
        <f t="shared" si="1"/>
        <v>-1.3322383429145046E-2</v>
      </c>
      <c r="F44" s="16">
        <f t="shared" si="1"/>
        <v>1.7617449664429463E-2</v>
      </c>
      <c r="G44" s="16">
        <f t="shared" si="1"/>
        <v>1.2417437252311814E-2</v>
      </c>
      <c r="H44" s="16">
        <f t="shared" si="1"/>
        <v>-5.2340796743238771E-3</v>
      </c>
      <c r="I44" s="16">
        <f t="shared" si="1"/>
        <v>8.3612040133779209E-2</v>
      </c>
      <c r="J44" s="16">
        <f t="shared" si="1"/>
        <v>-1.0193679918450549E-2</v>
      </c>
      <c r="K44" s="16">
        <f t="shared" si="1"/>
        <v>0.10045924225028702</v>
      </c>
      <c r="L44" s="16">
        <f t="shared" si="1"/>
        <v>6.2970019051438841E-2</v>
      </c>
      <c r="M44" s="16">
        <f t="shared" si="1"/>
        <v>0.16827679173219501</v>
      </c>
      <c r="N44" s="16">
        <f t="shared" si="1"/>
        <v>-9.7076023391813315E-3</v>
      </c>
      <c r="O44" s="16">
        <f t="shared" si="1"/>
        <v>3.661362583037242E-2</v>
      </c>
      <c r="P44" s="16">
        <f t="shared" si="1"/>
        <v>-1.3993201043560721E-2</v>
      </c>
      <c r="Q44" s="16">
        <f t="shared" si="1"/>
        <v>3.1578947368421151E-2</v>
      </c>
      <c r="R44" s="16">
        <f t="shared" si="1"/>
        <v>4.1449137794652646E-2</v>
      </c>
      <c r="S44" s="16">
        <f t="shared" si="1"/>
        <v>2.7054431488224173E-2</v>
      </c>
      <c r="T44" s="16">
        <f t="shared" si="1"/>
        <v>4.5536609829488484E-2</v>
      </c>
      <c r="U44" s="16">
        <f t="shared" si="1"/>
        <v>4.968695883841745E-2</v>
      </c>
    </row>
  </sheetData>
  <conditionalFormatting sqref="B43:U44">
    <cfRule type="expression" dxfId="20" priority="1">
      <formula>B43&lt;=-0.0005</formula>
    </cfRule>
    <cfRule type="expression" dxfId="19" priority="2">
      <formula>B43&gt;=0.0005</formula>
    </cfRule>
    <cfRule type="expression" dxfId="18" priority="3">
      <formula>B43&lt;0.0005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pane xSplit="1" ySplit="1" topLeftCell="B14" activePane="bottomRight" state="frozenSplit"/>
      <selection pane="topRight" activeCell="B1" sqref="B1"/>
      <selection pane="bottomLeft" activeCell="A2" sqref="A2"/>
      <selection pane="bottomRight" activeCell="B42" sqref="B42"/>
    </sheetView>
  </sheetViews>
  <sheetFormatPr defaultRowHeight="15" x14ac:dyDescent="0.25"/>
  <cols>
    <col min="1" max="1" width="7.5703125" style="9" bestFit="1" customWidth="1"/>
    <col min="2" max="2" width="9.140625" style="6" customWidth="1"/>
    <col min="3" max="3" width="12.42578125" style="7" bestFit="1" customWidth="1"/>
    <col min="4" max="4" width="17.85546875" style="7" bestFit="1" customWidth="1"/>
    <col min="5" max="6" width="15.85546875" style="7" bestFit="1" customWidth="1"/>
    <col min="7" max="7" width="14.140625" style="7" bestFit="1" customWidth="1"/>
    <col min="8" max="8" width="17.28515625" style="7" bestFit="1" customWidth="1"/>
    <col min="9" max="9" width="12.7109375" style="7" bestFit="1" customWidth="1"/>
    <col min="10" max="10" width="12.42578125" style="7" bestFit="1" customWidth="1"/>
    <col min="11" max="11" width="11.85546875" style="7" bestFit="1" customWidth="1"/>
    <col min="12" max="12" width="16.140625" style="7" bestFit="1" customWidth="1"/>
    <col min="13" max="13" width="11.140625" style="7" bestFit="1" customWidth="1"/>
    <col min="14" max="14" width="12.140625" style="7" bestFit="1" customWidth="1"/>
    <col min="15" max="15" width="14.85546875" style="7" bestFit="1" customWidth="1"/>
    <col min="16" max="16" width="14.140625" style="7" bestFit="1" customWidth="1"/>
    <col min="17" max="17" width="15.42578125" style="7" bestFit="1" customWidth="1"/>
    <col min="18" max="18" width="13.140625" style="7" bestFit="1" customWidth="1"/>
    <col min="19" max="19" width="16.5703125" style="7" bestFit="1" customWidth="1"/>
    <col min="20" max="20" width="10.7109375" style="7" bestFit="1" customWidth="1"/>
    <col min="21" max="21" width="12.42578125" style="7" bestFit="1" customWidth="1"/>
    <col min="22" max="22" width="10.28515625" style="7" bestFit="1" customWidth="1"/>
    <col min="23" max="23" width="12.42578125" style="7" bestFit="1" customWidth="1"/>
    <col min="24" max="24" width="7" style="8" bestFit="1" customWidth="1"/>
    <col min="25" max="16384" width="9.140625" style="8"/>
  </cols>
  <sheetData>
    <row r="1" spans="1:23" s="4" customFormat="1" x14ac:dyDescent="0.25">
      <c r="A1" s="1" t="s">
        <v>0</v>
      </c>
      <c r="B1" s="2" t="s">
        <v>1</v>
      </c>
      <c r="C1" s="3" t="s">
        <v>8</v>
      </c>
      <c r="D1" s="3" t="s">
        <v>7</v>
      </c>
      <c r="E1" s="3" t="s">
        <v>2</v>
      </c>
      <c r="F1" s="3" t="s">
        <v>15</v>
      </c>
      <c r="G1" s="3" t="s">
        <v>11</v>
      </c>
      <c r="H1" s="3" t="s">
        <v>6</v>
      </c>
      <c r="I1" s="3" t="s">
        <v>18</v>
      </c>
      <c r="J1" s="3" t="s">
        <v>20</v>
      </c>
      <c r="K1" s="3" t="s">
        <v>14</v>
      </c>
      <c r="L1" s="3" t="s">
        <v>4</v>
      </c>
      <c r="M1" s="3" t="s">
        <v>3</v>
      </c>
      <c r="N1" s="3" t="s">
        <v>9</v>
      </c>
      <c r="O1" s="3" t="s">
        <v>13</v>
      </c>
      <c r="P1" s="3" t="s">
        <v>17</v>
      </c>
      <c r="Q1" s="3" t="s">
        <v>12</v>
      </c>
      <c r="R1" s="3" t="s">
        <v>16</v>
      </c>
      <c r="S1" s="3" t="s">
        <v>5</v>
      </c>
      <c r="T1" s="3" t="s">
        <v>19</v>
      </c>
      <c r="U1" s="3" t="s">
        <v>10</v>
      </c>
    </row>
    <row r="2" spans="1:23" x14ac:dyDescent="0.25">
      <c r="A2" s="5">
        <v>40179</v>
      </c>
      <c r="B2" s="6">
        <f>SUM(Sales_Closed[[#This Row],[AZ | Phoenix]:[WA | Seattle]])</f>
        <v>43237</v>
      </c>
      <c r="C2" s="7">
        <v>5551</v>
      </c>
      <c r="D2" s="7">
        <v>4970</v>
      </c>
      <c r="E2" s="7">
        <v>5170</v>
      </c>
      <c r="F2" s="7">
        <v>2055</v>
      </c>
      <c r="G2" s="7">
        <v>1452</v>
      </c>
      <c r="H2" s="7">
        <v>2373</v>
      </c>
      <c r="I2" s="7">
        <v>815</v>
      </c>
      <c r="J2" s="7">
        <v>397</v>
      </c>
      <c r="K2" s="7">
        <v>1732</v>
      </c>
      <c r="L2" s="7">
        <v>2582</v>
      </c>
      <c r="M2" s="7">
        <v>3034</v>
      </c>
      <c r="N2" s="7">
        <v>1401</v>
      </c>
      <c r="O2" s="7">
        <v>1050</v>
      </c>
      <c r="P2" s="7">
        <v>2936</v>
      </c>
      <c r="Q2" s="7">
        <v>1815</v>
      </c>
      <c r="R2" s="7">
        <v>1279</v>
      </c>
      <c r="S2" s="7">
        <v>1968</v>
      </c>
      <c r="T2" s="7">
        <v>808</v>
      </c>
      <c r="U2" s="7">
        <v>1849</v>
      </c>
      <c r="V2" s="8"/>
      <c r="W2" s="8"/>
    </row>
    <row r="3" spans="1:23" x14ac:dyDescent="0.25">
      <c r="A3" s="5">
        <v>40210</v>
      </c>
      <c r="B3" s="6">
        <f>SUM(Sales_Closed[[#This Row],[AZ | Phoenix]:[WA | Seattle]])</f>
        <v>43664</v>
      </c>
      <c r="C3" s="7">
        <v>6273</v>
      </c>
      <c r="D3" s="7">
        <v>4925</v>
      </c>
      <c r="E3" s="7">
        <v>5204</v>
      </c>
      <c r="F3" s="7">
        <v>2045</v>
      </c>
      <c r="G3" s="7">
        <v>1587</v>
      </c>
      <c r="H3" s="7">
        <v>2252</v>
      </c>
      <c r="I3" s="7">
        <v>854</v>
      </c>
      <c r="J3" s="7">
        <v>419</v>
      </c>
      <c r="K3" s="7">
        <v>1981</v>
      </c>
      <c r="L3" s="7">
        <v>2354</v>
      </c>
      <c r="M3" s="7">
        <v>3007</v>
      </c>
      <c r="N3" s="7">
        <v>1341</v>
      </c>
      <c r="O3" s="7">
        <v>895</v>
      </c>
      <c r="P3" s="7">
        <v>2771</v>
      </c>
      <c r="Q3" s="7">
        <v>1414</v>
      </c>
      <c r="R3" s="7">
        <v>1335</v>
      </c>
      <c r="S3" s="7">
        <v>1820</v>
      </c>
      <c r="T3" s="7">
        <v>1087</v>
      </c>
      <c r="U3" s="7">
        <v>2100</v>
      </c>
      <c r="V3" s="8"/>
      <c r="W3" s="8"/>
    </row>
    <row r="4" spans="1:23" x14ac:dyDescent="0.25">
      <c r="A4" s="5">
        <v>40238</v>
      </c>
      <c r="B4" s="6">
        <f>SUM(Sales_Closed[[#This Row],[AZ | Phoenix]:[WA | Seattle]])</f>
        <v>60969</v>
      </c>
      <c r="C4" s="7">
        <v>8563</v>
      </c>
      <c r="D4" s="7">
        <v>6321</v>
      </c>
      <c r="E4" s="7">
        <v>6909</v>
      </c>
      <c r="F4" s="7">
        <v>2871</v>
      </c>
      <c r="G4" s="7">
        <v>2138</v>
      </c>
      <c r="H4" s="7">
        <v>3152</v>
      </c>
      <c r="I4" s="7">
        <v>1192</v>
      </c>
      <c r="J4" s="7">
        <v>530</v>
      </c>
      <c r="K4" s="7">
        <v>2954</v>
      </c>
      <c r="L4" s="7">
        <v>3599</v>
      </c>
      <c r="M4" s="7">
        <v>4235</v>
      </c>
      <c r="N4" s="7">
        <v>1896</v>
      </c>
      <c r="O4" s="7">
        <v>1346</v>
      </c>
      <c r="P4" s="7">
        <v>3609</v>
      </c>
      <c r="Q4" s="7">
        <v>1667</v>
      </c>
      <c r="R4" s="7">
        <v>2217</v>
      </c>
      <c r="S4" s="7">
        <v>2806</v>
      </c>
      <c r="T4" s="7">
        <v>1703</v>
      </c>
      <c r="U4" s="7">
        <v>3261</v>
      </c>
      <c r="V4" s="8"/>
      <c r="W4" s="8"/>
    </row>
    <row r="5" spans="1:23" x14ac:dyDescent="0.25">
      <c r="A5" s="5">
        <v>40269</v>
      </c>
      <c r="B5" s="6">
        <f>SUM(Sales_Closed[[#This Row],[AZ | Phoenix]:[WA | Seattle]])</f>
        <v>64418</v>
      </c>
      <c r="C5" s="7">
        <v>8906</v>
      </c>
      <c r="D5" s="7">
        <v>6288</v>
      </c>
      <c r="E5" s="7">
        <v>7087</v>
      </c>
      <c r="F5" s="7">
        <v>2721</v>
      </c>
      <c r="G5" s="7">
        <v>2156</v>
      </c>
      <c r="H5" s="7">
        <v>3135</v>
      </c>
      <c r="I5" s="7">
        <v>1287</v>
      </c>
      <c r="J5" s="7">
        <v>594</v>
      </c>
      <c r="K5" s="7">
        <v>3353</v>
      </c>
      <c r="L5" s="7">
        <v>4127</v>
      </c>
      <c r="M5" s="7">
        <v>4743</v>
      </c>
      <c r="N5" s="7">
        <v>2475</v>
      </c>
      <c r="O5" s="7">
        <v>1602</v>
      </c>
      <c r="P5" s="7">
        <v>3377</v>
      </c>
      <c r="Q5" s="7">
        <v>1718</v>
      </c>
      <c r="R5" s="7">
        <v>2391</v>
      </c>
      <c r="S5" s="7">
        <v>3125</v>
      </c>
      <c r="T5" s="7">
        <v>1938</v>
      </c>
      <c r="U5" s="7">
        <v>3395</v>
      </c>
      <c r="V5" s="8"/>
      <c r="W5" s="8"/>
    </row>
    <row r="6" spans="1:23" x14ac:dyDescent="0.25">
      <c r="A6" s="5">
        <v>40299</v>
      </c>
      <c r="B6" s="6">
        <f>SUM(Sales_Closed[[#This Row],[AZ | Phoenix]:[WA | Seattle]])</f>
        <v>67771</v>
      </c>
      <c r="C6" s="7">
        <v>8571</v>
      </c>
      <c r="D6" s="7">
        <v>6378</v>
      </c>
      <c r="E6" s="7">
        <v>7744</v>
      </c>
      <c r="F6" s="7">
        <v>3126</v>
      </c>
      <c r="G6" s="7">
        <v>2503</v>
      </c>
      <c r="H6" s="7">
        <v>3646</v>
      </c>
      <c r="I6" s="7">
        <v>1542</v>
      </c>
      <c r="J6" s="7">
        <v>625</v>
      </c>
      <c r="K6" s="7">
        <v>3364</v>
      </c>
      <c r="L6" s="7">
        <v>4360</v>
      </c>
      <c r="M6" s="7">
        <v>5051</v>
      </c>
      <c r="N6" s="7">
        <v>2733</v>
      </c>
      <c r="O6" s="7">
        <v>1739</v>
      </c>
      <c r="P6" s="7">
        <v>3298</v>
      </c>
      <c r="Q6" s="7">
        <v>1750</v>
      </c>
      <c r="R6" s="7">
        <v>2438</v>
      </c>
      <c r="S6" s="7">
        <v>3547</v>
      </c>
      <c r="T6" s="7">
        <v>1988</v>
      </c>
      <c r="U6" s="7">
        <v>3368</v>
      </c>
      <c r="V6" s="8"/>
      <c r="W6" s="8"/>
    </row>
    <row r="7" spans="1:23" x14ac:dyDescent="0.25">
      <c r="A7" s="5">
        <v>40330</v>
      </c>
      <c r="B7" s="6">
        <f>SUM(Sales_Closed[[#This Row],[AZ | Phoenix]:[WA | Seattle]])</f>
        <v>76431</v>
      </c>
      <c r="C7" s="7">
        <v>9205</v>
      </c>
      <c r="D7" s="7">
        <v>7029</v>
      </c>
      <c r="E7" s="7">
        <v>8086</v>
      </c>
      <c r="F7" s="7">
        <v>3259</v>
      </c>
      <c r="G7" s="7">
        <v>2472</v>
      </c>
      <c r="H7" s="7">
        <v>3818</v>
      </c>
      <c r="I7" s="7">
        <v>1417</v>
      </c>
      <c r="J7" s="7">
        <v>633</v>
      </c>
      <c r="K7" s="7">
        <v>3235</v>
      </c>
      <c r="L7" s="7">
        <v>5471</v>
      </c>
      <c r="M7" s="7">
        <v>6040</v>
      </c>
      <c r="N7" s="7">
        <v>3758</v>
      </c>
      <c r="O7" s="7">
        <v>2233</v>
      </c>
      <c r="P7" s="7">
        <v>3782</v>
      </c>
      <c r="Q7" s="7">
        <v>3103</v>
      </c>
      <c r="R7" s="7">
        <v>2536</v>
      </c>
      <c r="S7" s="7">
        <v>4684</v>
      </c>
      <c r="T7" s="7">
        <v>1880</v>
      </c>
      <c r="U7" s="7">
        <v>3790</v>
      </c>
      <c r="V7" s="8"/>
      <c r="W7" s="8"/>
    </row>
    <row r="8" spans="1:23" x14ac:dyDescent="0.25">
      <c r="A8" s="5">
        <v>40360</v>
      </c>
      <c r="B8" s="6">
        <f>SUM(Sales_Closed[[#This Row],[AZ | Phoenix]:[WA | Seattle]])</f>
        <v>56583</v>
      </c>
      <c r="C8" s="7">
        <v>6652</v>
      </c>
      <c r="D8" s="7">
        <v>5657</v>
      </c>
      <c r="E8" s="7">
        <v>6796</v>
      </c>
      <c r="F8" s="7">
        <v>2466</v>
      </c>
      <c r="G8" s="7">
        <v>2012</v>
      </c>
      <c r="H8" s="7">
        <v>3268</v>
      </c>
      <c r="I8" s="7">
        <v>1260</v>
      </c>
      <c r="J8" s="7">
        <v>544</v>
      </c>
      <c r="K8" s="7">
        <v>2552</v>
      </c>
      <c r="L8" s="7">
        <v>3824</v>
      </c>
      <c r="M8" s="7">
        <v>4168</v>
      </c>
      <c r="N8" s="7">
        <v>2373</v>
      </c>
      <c r="O8" s="7">
        <v>1438</v>
      </c>
      <c r="P8" s="7">
        <v>3231</v>
      </c>
      <c r="Q8" s="7">
        <v>1727</v>
      </c>
      <c r="R8" s="7">
        <v>1706</v>
      </c>
      <c r="S8" s="7">
        <v>2869</v>
      </c>
      <c r="T8" s="7">
        <v>1423</v>
      </c>
      <c r="U8" s="7">
        <v>2617</v>
      </c>
      <c r="V8" s="8"/>
      <c r="W8" s="8"/>
    </row>
    <row r="9" spans="1:23" x14ac:dyDescent="0.25">
      <c r="A9" s="5">
        <v>40391</v>
      </c>
      <c r="B9" s="6">
        <f>SUM(Sales_Closed[[#This Row],[AZ | Phoenix]:[WA | Seattle]])</f>
        <v>55697</v>
      </c>
      <c r="C9" s="7">
        <v>6614</v>
      </c>
      <c r="D9" s="7">
        <v>5456</v>
      </c>
      <c r="E9" s="7">
        <v>6454</v>
      </c>
      <c r="F9" s="7">
        <v>2703</v>
      </c>
      <c r="G9" s="7">
        <v>2043</v>
      </c>
      <c r="H9" s="7">
        <v>3069</v>
      </c>
      <c r="I9" s="7">
        <v>1111</v>
      </c>
      <c r="J9" s="7">
        <v>509</v>
      </c>
      <c r="K9" s="7">
        <v>2443</v>
      </c>
      <c r="L9" s="7">
        <v>3885</v>
      </c>
      <c r="M9" s="7">
        <v>3955</v>
      </c>
      <c r="N9" s="7">
        <v>2396</v>
      </c>
      <c r="O9" s="7">
        <v>1566</v>
      </c>
      <c r="P9" s="7">
        <v>3215</v>
      </c>
      <c r="Q9" s="7">
        <v>1776</v>
      </c>
      <c r="R9" s="7">
        <v>1682</v>
      </c>
      <c r="S9" s="7">
        <v>2790</v>
      </c>
      <c r="T9" s="7">
        <v>1416</v>
      </c>
      <c r="U9" s="7">
        <v>2614</v>
      </c>
      <c r="V9" s="8"/>
      <c r="W9" s="8"/>
    </row>
    <row r="10" spans="1:23" x14ac:dyDescent="0.25">
      <c r="A10" s="5">
        <v>40422</v>
      </c>
      <c r="B10" s="6">
        <f>SUM(Sales_Closed[[#This Row],[AZ | Phoenix]:[WA | Seattle]])</f>
        <v>53140</v>
      </c>
      <c r="C10" s="7">
        <v>6480</v>
      </c>
      <c r="D10" s="7">
        <v>5314</v>
      </c>
      <c r="E10" s="7">
        <v>6414</v>
      </c>
      <c r="F10" s="7">
        <v>2554</v>
      </c>
      <c r="G10" s="7">
        <v>2004</v>
      </c>
      <c r="H10" s="7">
        <v>2899</v>
      </c>
      <c r="I10" s="7">
        <v>1064</v>
      </c>
      <c r="J10" s="7">
        <v>477</v>
      </c>
      <c r="K10" s="7">
        <v>2323</v>
      </c>
      <c r="L10" s="7">
        <v>3456</v>
      </c>
      <c r="M10" s="7">
        <v>3752</v>
      </c>
      <c r="N10" s="7">
        <v>2010</v>
      </c>
      <c r="O10" s="7">
        <v>1437</v>
      </c>
      <c r="P10" s="7">
        <v>3170</v>
      </c>
      <c r="Q10" s="7">
        <v>1779</v>
      </c>
      <c r="R10" s="7">
        <v>1719</v>
      </c>
      <c r="S10" s="7">
        <v>2567</v>
      </c>
      <c r="T10" s="7">
        <v>1208</v>
      </c>
      <c r="U10" s="7">
        <v>2513</v>
      </c>
      <c r="V10" s="8"/>
      <c r="W10" s="8"/>
    </row>
    <row r="11" spans="1:23" x14ac:dyDescent="0.25">
      <c r="A11" s="5">
        <v>40452</v>
      </c>
      <c r="B11" s="6">
        <f>SUM(Sales_Closed[[#This Row],[AZ | Phoenix]:[WA | Seattle]])</f>
        <v>50071</v>
      </c>
      <c r="C11" s="7">
        <v>6373</v>
      </c>
      <c r="D11" s="7">
        <v>5177</v>
      </c>
      <c r="E11" s="7">
        <v>5875</v>
      </c>
      <c r="F11" s="7">
        <v>2368</v>
      </c>
      <c r="G11" s="7">
        <v>1849</v>
      </c>
      <c r="H11" s="7">
        <v>2938</v>
      </c>
      <c r="I11" s="7">
        <v>991</v>
      </c>
      <c r="J11" s="7">
        <v>446</v>
      </c>
      <c r="K11" s="7">
        <v>2242</v>
      </c>
      <c r="L11" s="7">
        <v>3178</v>
      </c>
      <c r="M11" s="7">
        <v>3370</v>
      </c>
      <c r="N11" s="7">
        <v>1822</v>
      </c>
      <c r="O11" s="7">
        <v>1306</v>
      </c>
      <c r="P11" s="7">
        <v>2919</v>
      </c>
      <c r="Q11" s="7">
        <v>1573</v>
      </c>
      <c r="R11" s="7">
        <v>1599</v>
      </c>
      <c r="S11" s="7">
        <v>2359</v>
      </c>
      <c r="T11" s="7">
        <v>1166</v>
      </c>
      <c r="U11" s="7">
        <v>2520</v>
      </c>
      <c r="V11" s="8"/>
      <c r="W11" s="8"/>
    </row>
    <row r="12" spans="1:23" x14ac:dyDescent="0.25">
      <c r="A12" s="5">
        <v>40483</v>
      </c>
      <c r="B12" s="6">
        <f>SUM(Sales_Closed[[#This Row],[AZ | Phoenix]:[WA | Seattle]])</f>
        <v>49295</v>
      </c>
      <c r="C12" s="7">
        <v>6468</v>
      </c>
      <c r="D12" s="7">
        <v>5004</v>
      </c>
      <c r="E12" s="7">
        <v>5818</v>
      </c>
      <c r="F12" s="7">
        <v>2370</v>
      </c>
      <c r="G12" s="7">
        <v>1672</v>
      </c>
      <c r="H12" s="7">
        <v>2823</v>
      </c>
      <c r="I12" s="7">
        <v>1097</v>
      </c>
      <c r="J12" s="7">
        <v>439</v>
      </c>
      <c r="K12" s="7">
        <v>2177</v>
      </c>
      <c r="L12" s="7">
        <v>3209</v>
      </c>
      <c r="M12" s="7">
        <v>3221</v>
      </c>
      <c r="N12" s="7">
        <v>1771</v>
      </c>
      <c r="O12" s="7">
        <v>1280</v>
      </c>
      <c r="P12" s="7">
        <v>3016</v>
      </c>
      <c r="Q12" s="7">
        <v>1542</v>
      </c>
      <c r="R12" s="7">
        <v>1574</v>
      </c>
      <c r="S12" s="7">
        <v>2318</v>
      </c>
      <c r="T12" s="7">
        <v>1180</v>
      </c>
      <c r="U12" s="7">
        <v>2316</v>
      </c>
      <c r="V12" s="8"/>
      <c r="W12" s="8"/>
    </row>
    <row r="13" spans="1:23" x14ac:dyDescent="0.25">
      <c r="A13" s="5">
        <v>40513</v>
      </c>
      <c r="B13" s="6">
        <f>SUM(Sales_Closed[[#This Row],[AZ | Phoenix]:[WA | Seattle]])</f>
        <v>57077</v>
      </c>
      <c r="C13" s="7">
        <v>7984</v>
      </c>
      <c r="D13" s="7">
        <v>5758</v>
      </c>
      <c r="E13" s="7">
        <v>6721</v>
      </c>
      <c r="F13" s="7">
        <v>2755</v>
      </c>
      <c r="G13" s="7">
        <v>2228</v>
      </c>
      <c r="H13" s="7">
        <v>3260</v>
      </c>
      <c r="I13" s="7">
        <v>1219</v>
      </c>
      <c r="J13" s="7">
        <v>536</v>
      </c>
      <c r="K13" s="7">
        <v>2356</v>
      </c>
      <c r="L13" s="7">
        <v>3400</v>
      </c>
      <c r="M13" s="7">
        <v>3616</v>
      </c>
      <c r="N13" s="7">
        <v>2171</v>
      </c>
      <c r="O13" s="7">
        <v>1416</v>
      </c>
      <c r="P13" s="7">
        <v>3422</v>
      </c>
      <c r="Q13" s="7">
        <v>1782</v>
      </c>
      <c r="R13" s="7">
        <v>1727</v>
      </c>
      <c r="S13" s="7">
        <v>2436</v>
      </c>
      <c r="T13" s="7">
        <v>1376</v>
      </c>
      <c r="U13" s="7">
        <v>2914</v>
      </c>
      <c r="V13" s="8"/>
      <c r="W13" s="8"/>
    </row>
    <row r="14" spans="1:23" x14ac:dyDescent="0.25">
      <c r="A14" s="5">
        <v>40544</v>
      </c>
      <c r="B14" s="6">
        <f>SUM(Sales_Closed[[#This Row],[AZ | Phoenix]:[WA | Seattle]])</f>
        <v>42809</v>
      </c>
      <c r="C14" s="7">
        <v>6171</v>
      </c>
      <c r="D14" s="7">
        <v>4427</v>
      </c>
      <c r="E14" s="7">
        <v>5240</v>
      </c>
      <c r="F14" s="7">
        <v>2155</v>
      </c>
      <c r="G14" s="7">
        <v>1419</v>
      </c>
      <c r="H14" s="7">
        <v>2331</v>
      </c>
      <c r="I14" s="7">
        <v>856</v>
      </c>
      <c r="J14" s="7">
        <v>398</v>
      </c>
      <c r="K14" s="7">
        <v>1607</v>
      </c>
      <c r="L14" s="7">
        <v>2504</v>
      </c>
      <c r="M14" s="7">
        <v>2843</v>
      </c>
      <c r="N14" s="7">
        <v>1418</v>
      </c>
      <c r="O14" s="7">
        <v>1181</v>
      </c>
      <c r="P14" s="7">
        <v>2768</v>
      </c>
      <c r="Q14" s="7">
        <v>1434</v>
      </c>
      <c r="R14" s="7">
        <v>1298</v>
      </c>
      <c r="S14" s="7">
        <v>1937</v>
      </c>
      <c r="T14" s="7">
        <v>906</v>
      </c>
      <c r="U14" s="7">
        <v>1916</v>
      </c>
      <c r="V14" s="8"/>
      <c r="W14" s="7">
        <f>SUM(C14:I14,K14:M14,O14:R14,T14:U14)</f>
        <v>39056</v>
      </c>
    </row>
    <row r="15" spans="1:23" x14ac:dyDescent="0.25">
      <c r="A15" s="5">
        <v>40575</v>
      </c>
      <c r="B15" s="6">
        <f>SUM(Sales_Closed[[#This Row],[AZ | Phoenix]:[WA | Seattle]])</f>
        <v>42691</v>
      </c>
      <c r="C15" s="7">
        <v>6693</v>
      </c>
      <c r="D15" s="7">
        <v>4389</v>
      </c>
      <c r="E15" s="7">
        <v>4795</v>
      </c>
      <c r="F15" s="7">
        <v>2126</v>
      </c>
      <c r="G15" s="7">
        <v>1538</v>
      </c>
      <c r="H15" s="7">
        <v>2236</v>
      </c>
      <c r="I15" s="7">
        <v>819</v>
      </c>
      <c r="J15" s="7">
        <v>447</v>
      </c>
      <c r="K15" s="7">
        <v>1826</v>
      </c>
      <c r="L15" s="7">
        <v>2600</v>
      </c>
      <c r="M15" s="7">
        <v>2620</v>
      </c>
      <c r="N15" s="7">
        <v>1135</v>
      </c>
      <c r="O15" s="7">
        <v>1003</v>
      </c>
      <c r="P15" s="7">
        <v>2821</v>
      </c>
      <c r="Q15" s="7">
        <v>1430</v>
      </c>
      <c r="R15" s="7">
        <v>1338</v>
      </c>
      <c r="S15" s="7">
        <v>1741</v>
      </c>
      <c r="T15" s="7">
        <v>1059</v>
      </c>
      <c r="U15" s="7">
        <v>2075</v>
      </c>
      <c r="V15" s="8"/>
      <c r="W15" s="7">
        <f t="shared" ref="W15:W31" si="0">SUM(C15:I15,K15:M15,O15:R15,T15:U15)</f>
        <v>39368</v>
      </c>
    </row>
    <row r="16" spans="1:23" x14ac:dyDescent="0.25">
      <c r="A16" s="5">
        <v>40603</v>
      </c>
      <c r="B16" s="6">
        <f>SUM(Sales_Closed[[#This Row],[AZ | Phoenix]:[WA | Seattle]])</f>
        <v>58477</v>
      </c>
      <c r="C16" s="7">
        <v>9324</v>
      </c>
      <c r="D16" s="7">
        <v>5763</v>
      </c>
      <c r="E16" s="7">
        <v>6736</v>
      </c>
      <c r="F16" s="7">
        <v>3053</v>
      </c>
      <c r="G16" s="7">
        <v>2033</v>
      </c>
      <c r="H16" s="7">
        <v>3142</v>
      </c>
      <c r="I16" s="7">
        <v>1231</v>
      </c>
      <c r="J16" s="7">
        <v>538</v>
      </c>
      <c r="K16" s="7">
        <v>2492</v>
      </c>
      <c r="L16" s="7">
        <v>3400</v>
      </c>
      <c r="M16" s="7">
        <v>3665</v>
      </c>
      <c r="N16" s="7">
        <v>1723</v>
      </c>
      <c r="O16" s="7">
        <v>1363</v>
      </c>
      <c r="P16" s="7">
        <v>3656</v>
      </c>
      <c r="Q16" s="7">
        <v>1517</v>
      </c>
      <c r="R16" s="7">
        <v>1891</v>
      </c>
      <c r="S16" s="7">
        <v>2395</v>
      </c>
      <c r="T16" s="7">
        <v>1544</v>
      </c>
      <c r="U16" s="7">
        <v>3011</v>
      </c>
      <c r="V16" s="8"/>
      <c r="W16" s="7">
        <f t="shared" si="0"/>
        <v>53821</v>
      </c>
    </row>
    <row r="17" spans="1:24" x14ac:dyDescent="0.25">
      <c r="A17" s="5">
        <v>40634</v>
      </c>
      <c r="B17" s="6">
        <f>SUM(Sales_Closed[[#This Row],[AZ | Phoenix]:[WA | Seattle]])</f>
        <v>57259</v>
      </c>
      <c r="C17" s="7">
        <v>8889</v>
      </c>
      <c r="D17" s="7">
        <v>5352</v>
      </c>
      <c r="E17" s="7">
        <v>6500</v>
      </c>
      <c r="F17" s="7">
        <v>2685</v>
      </c>
      <c r="G17" s="7">
        <v>2136</v>
      </c>
      <c r="H17" s="7">
        <v>2874</v>
      </c>
      <c r="I17" s="7">
        <v>1252</v>
      </c>
      <c r="J17" s="7">
        <v>507</v>
      </c>
      <c r="K17" s="7">
        <v>2691</v>
      </c>
      <c r="L17" s="7">
        <v>3448</v>
      </c>
      <c r="M17" s="7">
        <v>3758</v>
      </c>
      <c r="N17" s="7">
        <v>1899</v>
      </c>
      <c r="O17" s="7">
        <v>1524</v>
      </c>
      <c r="P17" s="7">
        <v>3348</v>
      </c>
      <c r="Q17" s="7">
        <v>1419</v>
      </c>
      <c r="R17" s="7">
        <v>1875</v>
      </c>
      <c r="S17" s="7">
        <v>2425</v>
      </c>
      <c r="T17" s="7">
        <v>1613</v>
      </c>
      <c r="U17" s="7">
        <v>3064</v>
      </c>
      <c r="V17" s="8"/>
      <c r="W17" s="7">
        <f t="shared" si="0"/>
        <v>52428</v>
      </c>
    </row>
    <row r="18" spans="1:24" x14ac:dyDescent="0.25">
      <c r="A18" s="5">
        <v>40664</v>
      </c>
      <c r="B18" s="6">
        <f>SUM(Sales_Closed[[#This Row],[AZ | Phoenix]:[WA | Seattle]])</f>
        <v>59838</v>
      </c>
      <c r="C18" s="7">
        <v>9248</v>
      </c>
      <c r="D18" s="7">
        <v>4926</v>
      </c>
      <c r="E18" s="7">
        <v>6439</v>
      </c>
      <c r="F18" s="7">
        <v>2819</v>
      </c>
      <c r="G18" s="7">
        <v>2012</v>
      </c>
      <c r="H18" s="7">
        <v>3135</v>
      </c>
      <c r="I18" s="7">
        <v>1171</v>
      </c>
      <c r="J18" s="7">
        <v>523</v>
      </c>
      <c r="K18" s="7">
        <v>2849</v>
      </c>
      <c r="L18" s="7">
        <v>3757</v>
      </c>
      <c r="M18" s="7">
        <v>4359</v>
      </c>
      <c r="N18" s="7">
        <v>2300</v>
      </c>
      <c r="O18" s="7">
        <v>1548</v>
      </c>
      <c r="P18" s="7">
        <v>3393</v>
      </c>
      <c r="Q18" s="7">
        <v>1599</v>
      </c>
      <c r="R18" s="7">
        <v>2043</v>
      </c>
      <c r="S18" s="7">
        <v>2712</v>
      </c>
      <c r="T18" s="7">
        <v>1788</v>
      </c>
      <c r="U18" s="7">
        <v>3217</v>
      </c>
      <c r="V18" s="8"/>
      <c r="W18" s="7">
        <f t="shared" si="0"/>
        <v>54303</v>
      </c>
    </row>
    <row r="19" spans="1:24" x14ac:dyDescent="0.25">
      <c r="A19" s="5">
        <v>40695</v>
      </c>
      <c r="B19" s="6">
        <f>SUM(Sales_Closed[[#This Row],[AZ | Phoenix]:[WA | Seattle]])</f>
        <v>66000</v>
      </c>
      <c r="C19" s="7">
        <v>9939</v>
      </c>
      <c r="D19" s="7">
        <v>5573</v>
      </c>
      <c r="E19" s="7">
        <v>6580</v>
      </c>
      <c r="F19" s="7">
        <v>2947</v>
      </c>
      <c r="G19" s="7">
        <v>2246</v>
      </c>
      <c r="H19" s="7">
        <v>3417</v>
      </c>
      <c r="I19" s="7">
        <v>1308</v>
      </c>
      <c r="J19" s="7">
        <v>568</v>
      </c>
      <c r="K19" s="7">
        <v>2971</v>
      </c>
      <c r="L19" s="7">
        <v>4591</v>
      </c>
      <c r="M19" s="7">
        <v>4966</v>
      </c>
      <c r="N19" s="7">
        <v>2930</v>
      </c>
      <c r="O19" s="7">
        <v>1850</v>
      </c>
      <c r="P19" s="7">
        <v>2985</v>
      </c>
      <c r="Q19" s="7">
        <v>1948</v>
      </c>
      <c r="R19" s="7">
        <v>2261</v>
      </c>
      <c r="S19" s="7">
        <v>3260</v>
      </c>
      <c r="T19" s="7">
        <v>1963</v>
      </c>
      <c r="U19" s="7">
        <v>3697</v>
      </c>
      <c r="V19" s="8"/>
      <c r="W19" s="7">
        <f t="shared" si="0"/>
        <v>59242</v>
      </c>
    </row>
    <row r="20" spans="1:24" x14ac:dyDescent="0.25">
      <c r="A20" s="5">
        <v>40725</v>
      </c>
      <c r="B20" s="6">
        <f>SUM(Sales_Closed[[#This Row],[AZ | Phoenix]:[WA | Seattle]])</f>
        <v>58958</v>
      </c>
      <c r="C20" s="7">
        <v>8172</v>
      </c>
      <c r="D20" s="7">
        <v>5170</v>
      </c>
      <c r="E20" s="7">
        <v>6419</v>
      </c>
      <c r="F20" s="7">
        <v>2704</v>
      </c>
      <c r="G20" s="7">
        <v>2035</v>
      </c>
      <c r="H20" s="7">
        <v>3076</v>
      </c>
      <c r="I20" s="7">
        <v>1134</v>
      </c>
      <c r="J20" s="7">
        <v>571</v>
      </c>
      <c r="K20" s="7">
        <v>2687</v>
      </c>
      <c r="L20" s="7">
        <v>3777</v>
      </c>
      <c r="M20" s="7">
        <v>4294</v>
      </c>
      <c r="N20" s="7">
        <v>2445</v>
      </c>
      <c r="O20" s="7">
        <v>1442</v>
      </c>
      <c r="P20" s="7">
        <v>3324</v>
      </c>
      <c r="Q20" s="7">
        <v>1787</v>
      </c>
      <c r="R20" s="7">
        <v>2015</v>
      </c>
      <c r="S20" s="7">
        <v>2906</v>
      </c>
      <c r="T20" s="7">
        <v>1808</v>
      </c>
      <c r="U20" s="7">
        <v>3192</v>
      </c>
      <c r="V20" s="8"/>
      <c r="W20" s="7">
        <f t="shared" si="0"/>
        <v>53036</v>
      </c>
    </row>
    <row r="21" spans="1:24" x14ac:dyDescent="0.25">
      <c r="A21" s="5">
        <v>40756</v>
      </c>
      <c r="B21" s="6">
        <f>SUM(Sales_Closed[[#This Row],[AZ | Phoenix]:[WA | Seattle]])</f>
        <v>63233</v>
      </c>
      <c r="C21" s="7">
        <v>8545</v>
      </c>
      <c r="D21" s="7">
        <v>5636</v>
      </c>
      <c r="E21" s="7">
        <v>6798</v>
      </c>
      <c r="F21" s="7">
        <v>2957</v>
      </c>
      <c r="G21" s="7">
        <v>2074</v>
      </c>
      <c r="H21" s="7">
        <v>3285</v>
      </c>
      <c r="I21" s="7">
        <v>1230</v>
      </c>
      <c r="J21" s="7">
        <v>565</v>
      </c>
      <c r="K21" s="7">
        <v>2814</v>
      </c>
      <c r="L21" s="7">
        <v>3741</v>
      </c>
      <c r="M21" s="7">
        <v>4725</v>
      </c>
      <c r="N21" s="7">
        <v>2672</v>
      </c>
      <c r="O21" s="7">
        <v>1575</v>
      </c>
      <c r="P21" s="7">
        <v>3897</v>
      </c>
      <c r="Q21" s="7">
        <v>2055</v>
      </c>
      <c r="R21" s="7">
        <v>2091</v>
      </c>
      <c r="S21" s="7">
        <v>3208</v>
      </c>
      <c r="T21" s="7">
        <v>1838</v>
      </c>
      <c r="U21" s="7">
        <v>3527</v>
      </c>
      <c r="V21" s="8"/>
      <c r="W21" s="7">
        <f t="shared" si="0"/>
        <v>56788</v>
      </c>
    </row>
    <row r="22" spans="1:24" x14ac:dyDescent="0.25">
      <c r="A22" s="5">
        <v>40787</v>
      </c>
      <c r="B22" s="6">
        <f>SUM(Sales_Closed[[#This Row],[AZ | Phoenix]:[WA | Seattle]])</f>
        <v>56305</v>
      </c>
      <c r="C22" s="7">
        <v>7810</v>
      </c>
      <c r="D22" s="7">
        <v>5121</v>
      </c>
      <c r="E22" s="7">
        <v>6631</v>
      </c>
      <c r="F22" s="7">
        <v>2797</v>
      </c>
      <c r="G22" s="7">
        <v>2046</v>
      </c>
      <c r="H22" s="7">
        <v>2896</v>
      </c>
      <c r="I22" s="7">
        <v>1079</v>
      </c>
      <c r="J22" s="7">
        <v>575</v>
      </c>
      <c r="K22" s="7">
        <v>2425</v>
      </c>
      <c r="L22" s="7">
        <v>3102</v>
      </c>
      <c r="M22" s="7">
        <v>4000</v>
      </c>
      <c r="N22" s="7">
        <v>2126</v>
      </c>
      <c r="O22" s="7">
        <v>1468</v>
      </c>
      <c r="P22" s="7">
        <v>3386</v>
      </c>
      <c r="Q22" s="7">
        <v>1763</v>
      </c>
      <c r="R22" s="7">
        <v>1890</v>
      </c>
      <c r="S22" s="7">
        <v>2520</v>
      </c>
      <c r="T22" s="7">
        <v>1497</v>
      </c>
      <c r="U22" s="7">
        <v>3173</v>
      </c>
      <c r="V22" s="8"/>
      <c r="W22" s="7">
        <f t="shared" si="0"/>
        <v>51084</v>
      </c>
    </row>
    <row r="23" spans="1:24" x14ac:dyDescent="0.25">
      <c r="A23" s="5">
        <v>40817</v>
      </c>
      <c r="B23" s="6">
        <f>SUM(Sales_Closed[[#This Row],[AZ | Phoenix]:[WA | Seattle]])</f>
        <v>51951</v>
      </c>
      <c r="C23" s="7">
        <v>7289</v>
      </c>
      <c r="D23" s="7">
        <v>4812</v>
      </c>
      <c r="E23" s="7">
        <v>5956</v>
      </c>
      <c r="F23" s="7">
        <v>2658</v>
      </c>
      <c r="G23" s="7">
        <v>1775</v>
      </c>
      <c r="H23" s="7">
        <v>2772</v>
      </c>
      <c r="I23" s="7">
        <v>1003</v>
      </c>
      <c r="J23" s="7">
        <v>505</v>
      </c>
      <c r="K23" s="7">
        <v>2311</v>
      </c>
      <c r="L23" s="7">
        <v>2750</v>
      </c>
      <c r="M23" s="7">
        <v>3786</v>
      </c>
      <c r="N23" s="7">
        <v>1818</v>
      </c>
      <c r="O23" s="7">
        <v>1232</v>
      </c>
      <c r="P23" s="7">
        <v>3253</v>
      </c>
      <c r="Q23" s="7">
        <v>1595</v>
      </c>
      <c r="R23" s="7">
        <v>1715</v>
      </c>
      <c r="S23" s="7">
        <v>2396</v>
      </c>
      <c r="T23" s="7">
        <v>1307</v>
      </c>
      <c r="U23" s="7">
        <v>3018</v>
      </c>
      <c r="V23" s="8"/>
      <c r="W23" s="7">
        <f t="shared" si="0"/>
        <v>47232</v>
      </c>
      <c r="X23" s="11"/>
    </row>
    <row r="24" spans="1:24" x14ac:dyDescent="0.25">
      <c r="A24" s="5">
        <v>40848</v>
      </c>
      <c r="B24" s="6">
        <f>SUM(Sales_Closed[[#This Row],[AZ | Phoenix]:[WA | Seattle]])</f>
        <v>50051</v>
      </c>
      <c r="C24" s="7">
        <v>6875</v>
      </c>
      <c r="D24" s="7">
        <v>4721</v>
      </c>
      <c r="E24" s="7">
        <v>5941</v>
      </c>
      <c r="F24" s="7">
        <v>1895</v>
      </c>
      <c r="G24" s="7">
        <v>1811</v>
      </c>
      <c r="H24" s="7">
        <v>2770</v>
      </c>
      <c r="I24" s="7">
        <v>1017</v>
      </c>
      <c r="J24" s="7">
        <v>454</v>
      </c>
      <c r="K24" s="7">
        <v>2183</v>
      </c>
      <c r="L24" s="7">
        <v>2793</v>
      </c>
      <c r="M24" s="7">
        <v>3567</v>
      </c>
      <c r="N24" s="7">
        <v>1852</v>
      </c>
      <c r="O24" s="7">
        <v>1246</v>
      </c>
      <c r="P24" s="7">
        <v>3305</v>
      </c>
      <c r="Q24" s="7">
        <v>1507</v>
      </c>
      <c r="R24" s="7">
        <v>1732</v>
      </c>
      <c r="S24" s="7">
        <v>2284</v>
      </c>
      <c r="T24" s="7">
        <v>1247</v>
      </c>
      <c r="U24" s="7">
        <v>2851</v>
      </c>
      <c r="V24" s="8"/>
      <c r="W24" s="7">
        <f t="shared" si="0"/>
        <v>45461</v>
      </c>
      <c r="X24" s="11"/>
    </row>
    <row r="25" spans="1:24" x14ac:dyDescent="0.25">
      <c r="A25" s="5">
        <v>40878</v>
      </c>
      <c r="B25" s="6">
        <f>SUM(Sales_Closed[[#This Row],[AZ | Phoenix]:[WA | Seattle]])</f>
        <v>54177</v>
      </c>
      <c r="C25" s="7">
        <v>7651</v>
      </c>
      <c r="D25" s="7">
        <v>5291</v>
      </c>
      <c r="E25" s="7">
        <v>6483</v>
      </c>
      <c r="F25" s="7">
        <v>2167</v>
      </c>
      <c r="G25" s="7">
        <v>2142</v>
      </c>
      <c r="H25" s="7">
        <v>2957</v>
      </c>
      <c r="I25" s="7">
        <v>1086</v>
      </c>
      <c r="J25" s="7">
        <v>547</v>
      </c>
      <c r="K25" s="7">
        <v>2119</v>
      </c>
      <c r="L25" s="7">
        <v>2913</v>
      </c>
      <c r="M25" s="7">
        <v>3938</v>
      </c>
      <c r="N25" s="7">
        <v>1989</v>
      </c>
      <c r="O25" s="7">
        <v>1269</v>
      </c>
      <c r="P25" s="7">
        <v>3566</v>
      </c>
      <c r="Q25" s="7">
        <v>1618</v>
      </c>
      <c r="R25" s="7">
        <v>1802</v>
      </c>
      <c r="S25" s="7">
        <v>2248</v>
      </c>
      <c r="T25" s="7">
        <v>1420</v>
      </c>
      <c r="U25" s="7">
        <v>2971</v>
      </c>
      <c r="V25" s="8"/>
      <c r="W25" s="7">
        <f t="shared" si="0"/>
        <v>49393</v>
      </c>
      <c r="X25" s="11"/>
    </row>
    <row r="26" spans="1:24" x14ac:dyDescent="0.25">
      <c r="A26" s="5">
        <v>40909</v>
      </c>
      <c r="B26" s="6">
        <f>SUM(Sales_Closed[[#This Row],[AZ | Phoenix]:[WA | Seattle]])</f>
        <v>42356</v>
      </c>
      <c r="C26" s="7">
        <v>6278</v>
      </c>
      <c r="D26" s="7">
        <v>4227</v>
      </c>
      <c r="E26" s="7">
        <v>4984</v>
      </c>
      <c r="F26" s="7">
        <v>2082</v>
      </c>
      <c r="G26" s="7">
        <v>1564</v>
      </c>
      <c r="H26" s="7">
        <v>2269</v>
      </c>
      <c r="I26" s="7">
        <v>847</v>
      </c>
      <c r="J26" s="7">
        <v>413</v>
      </c>
      <c r="K26" s="7">
        <v>1591</v>
      </c>
      <c r="L26" s="7">
        <v>2275</v>
      </c>
      <c r="M26" s="7">
        <v>2906</v>
      </c>
      <c r="N26" s="7">
        <v>1337</v>
      </c>
      <c r="O26" s="7">
        <v>1053</v>
      </c>
      <c r="P26" s="7">
        <v>2991</v>
      </c>
      <c r="Q26" s="7">
        <v>1387</v>
      </c>
      <c r="R26" s="7">
        <v>1373</v>
      </c>
      <c r="S26" s="7">
        <v>1840</v>
      </c>
      <c r="T26" s="7">
        <v>949</v>
      </c>
      <c r="U26" s="7">
        <v>1990</v>
      </c>
      <c r="V26" s="8"/>
      <c r="W26" s="7">
        <f t="shared" si="0"/>
        <v>38766</v>
      </c>
      <c r="X26" s="11">
        <f t="shared" ref="X26:X30" si="1">W26/W14-1</f>
        <v>-7.425235559197052E-3</v>
      </c>
    </row>
    <row r="27" spans="1:24" x14ac:dyDescent="0.25">
      <c r="A27" s="5">
        <v>40940</v>
      </c>
      <c r="B27" s="6">
        <f>SUM(Sales_Closed[[#This Row],[AZ | Phoenix]:[WA | Seattle]])</f>
        <v>46828</v>
      </c>
      <c r="C27" s="7">
        <v>7010</v>
      </c>
      <c r="D27" s="7">
        <v>4492</v>
      </c>
      <c r="E27" s="7">
        <v>5362</v>
      </c>
      <c r="F27" s="7">
        <v>2450</v>
      </c>
      <c r="G27" s="7">
        <v>1742</v>
      </c>
      <c r="H27" s="7">
        <v>2546</v>
      </c>
      <c r="I27" s="7">
        <v>929</v>
      </c>
      <c r="J27" s="7">
        <v>420</v>
      </c>
      <c r="K27" s="7">
        <v>1966</v>
      </c>
      <c r="L27" s="7">
        <v>2501</v>
      </c>
      <c r="M27" s="7">
        <v>3196</v>
      </c>
      <c r="N27" s="7">
        <v>1529</v>
      </c>
      <c r="O27" s="7">
        <v>1154</v>
      </c>
      <c r="P27" s="7">
        <v>3196</v>
      </c>
      <c r="Q27" s="7">
        <v>1309</v>
      </c>
      <c r="R27" s="7">
        <v>1472</v>
      </c>
      <c r="S27" s="7">
        <v>1916</v>
      </c>
      <c r="T27" s="7">
        <v>1200</v>
      </c>
      <c r="U27" s="7">
        <v>2438</v>
      </c>
      <c r="V27" s="8"/>
      <c r="W27" s="7">
        <f t="shared" si="0"/>
        <v>42963</v>
      </c>
      <c r="X27" s="11">
        <f t="shared" si="1"/>
        <v>9.1317821580979563E-2</v>
      </c>
    </row>
    <row r="28" spans="1:24" x14ac:dyDescent="0.25">
      <c r="A28" s="5">
        <v>40969</v>
      </c>
      <c r="B28" s="6">
        <f>SUM(Sales_Closed[[#This Row],[AZ | Phoenix]:[WA | Seattle]])</f>
        <v>59428</v>
      </c>
      <c r="C28" s="7">
        <v>8515</v>
      </c>
      <c r="D28" s="7">
        <v>5626</v>
      </c>
      <c r="E28" s="7">
        <v>7064</v>
      </c>
      <c r="F28" s="7">
        <v>2932</v>
      </c>
      <c r="G28" s="7">
        <v>2168</v>
      </c>
      <c r="H28" s="7">
        <v>3174</v>
      </c>
      <c r="I28" s="7">
        <v>1244</v>
      </c>
      <c r="J28" s="7">
        <v>609</v>
      </c>
      <c r="K28" s="7">
        <v>2614</v>
      </c>
      <c r="L28" s="7">
        <v>3277</v>
      </c>
      <c r="M28" s="7">
        <v>4253</v>
      </c>
      <c r="N28" s="7">
        <v>1974</v>
      </c>
      <c r="O28" s="7">
        <v>1392</v>
      </c>
      <c r="P28" s="7">
        <v>3755</v>
      </c>
      <c r="Q28" s="7">
        <v>1453</v>
      </c>
      <c r="R28" s="7">
        <v>1979</v>
      </c>
      <c r="S28" s="7">
        <v>2433</v>
      </c>
      <c r="T28" s="7">
        <v>1756</v>
      </c>
      <c r="U28" s="7">
        <v>3210</v>
      </c>
      <c r="V28" s="8"/>
      <c r="W28" s="7">
        <f t="shared" si="0"/>
        <v>54412</v>
      </c>
      <c r="X28" s="11">
        <f t="shared" si="1"/>
        <v>1.0980843908511506E-2</v>
      </c>
    </row>
    <row r="29" spans="1:24" x14ac:dyDescent="0.25">
      <c r="A29" s="5">
        <v>41000</v>
      </c>
      <c r="B29" s="6">
        <f>SUM(Sales_Closed[[#This Row],[AZ | Phoenix]:[WA | Seattle]])</f>
        <v>59468</v>
      </c>
      <c r="C29" s="7">
        <v>8075</v>
      </c>
      <c r="D29" s="7">
        <v>5018</v>
      </c>
      <c r="E29" s="7">
        <v>7004</v>
      </c>
      <c r="F29" s="7">
        <v>2784</v>
      </c>
      <c r="G29" s="7">
        <v>2299</v>
      </c>
      <c r="H29" s="7">
        <v>3406</v>
      </c>
      <c r="I29" s="7">
        <v>1347</v>
      </c>
      <c r="J29" s="7">
        <v>602</v>
      </c>
      <c r="K29" s="7">
        <v>2860</v>
      </c>
      <c r="L29" s="7">
        <v>3592</v>
      </c>
      <c r="M29" s="7">
        <v>4340</v>
      </c>
      <c r="N29" s="7">
        <v>2214</v>
      </c>
      <c r="O29" s="7">
        <v>1563</v>
      </c>
      <c r="P29" s="7">
        <v>3426</v>
      </c>
      <c r="Q29" s="7">
        <v>1371</v>
      </c>
      <c r="R29" s="7">
        <v>2041</v>
      </c>
      <c r="S29" s="7">
        <v>2447</v>
      </c>
      <c r="T29" s="7">
        <v>1803</v>
      </c>
      <c r="U29" s="7">
        <v>3276</v>
      </c>
      <c r="V29" s="8"/>
      <c r="W29" s="7">
        <f t="shared" si="0"/>
        <v>54205</v>
      </c>
      <c r="X29" s="11">
        <f t="shared" si="1"/>
        <v>3.3894102388037028E-2</v>
      </c>
    </row>
    <row r="30" spans="1:24" x14ac:dyDescent="0.25">
      <c r="A30" s="5">
        <v>41030</v>
      </c>
      <c r="B30" s="6">
        <f>SUM(Sales_Closed[[#This Row],[AZ | Phoenix]:[WA | Seattle]])</f>
        <v>69608</v>
      </c>
      <c r="C30" s="7">
        <v>8251</v>
      </c>
      <c r="D30" s="7">
        <v>5970</v>
      </c>
      <c r="E30" s="7">
        <v>7947</v>
      </c>
      <c r="F30" s="7">
        <v>3234</v>
      </c>
      <c r="G30" s="7">
        <v>2554</v>
      </c>
      <c r="H30" s="7">
        <v>3807</v>
      </c>
      <c r="I30" s="7">
        <v>1561</v>
      </c>
      <c r="J30" s="7">
        <v>739</v>
      </c>
      <c r="K30" s="7">
        <v>3778</v>
      </c>
      <c r="L30" s="7">
        <v>4397</v>
      </c>
      <c r="M30" s="7">
        <v>5473</v>
      </c>
      <c r="N30" s="7">
        <v>2916</v>
      </c>
      <c r="O30" s="7">
        <v>1828</v>
      </c>
      <c r="P30" s="7">
        <v>3713</v>
      </c>
      <c r="Q30" s="7">
        <v>1880</v>
      </c>
      <c r="R30" s="7">
        <v>2422</v>
      </c>
      <c r="S30" s="7">
        <v>3162</v>
      </c>
      <c r="T30" s="7">
        <v>2181</v>
      </c>
      <c r="U30" s="7">
        <v>3795</v>
      </c>
      <c r="V30" s="8"/>
      <c r="W30" s="7">
        <f t="shared" si="0"/>
        <v>62791</v>
      </c>
      <c r="X30" s="11">
        <f t="shared" si="1"/>
        <v>0.15630812293980068</v>
      </c>
    </row>
    <row r="31" spans="1:24" x14ac:dyDescent="0.25">
      <c r="A31" s="5">
        <v>41061</v>
      </c>
      <c r="B31" s="6">
        <f>SUM(Sales_Closed[[#This Row],[AZ | Phoenix]:[WA | Seattle]])</f>
        <v>71927</v>
      </c>
      <c r="C31" s="7">
        <v>8078</v>
      </c>
      <c r="D31" s="7">
        <v>5723</v>
      </c>
      <c r="E31" s="7">
        <v>8169</v>
      </c>
      <c r="F31" s="7">
        <v>3172</v>
      </c>
      <c r="G31" s="7">
        <v>2584</v>
      </c>
      <c r="H31" s="7">
        <v>3835</v>
      </c>
      <c r="I31" s="7">
        <v>1457</v>
      </c>
      <c r="J31" s="7">
        <v>747</v>
      </c>
      <c r="K31" s="7">
        <v>3786</v>
      </c>
      <c r="L31" s="7">
        <v>4599</v>
      </c>
      <c r="M31" s="7">
        <v>5934</v>
      </c>
      <c r="N31" s="7">
        <v>3696</v>
      </c>
      <c r="O31" s="7">
        <v>2089</v>
      </c>
      <c r="P31" s="7">
        <v>3431</v>
      </c>
      <c r="Q31" s="7">
        <v>2020</v>
      </c>
      <c r="R31" s="7">
        <v>2680</v>
      </c>
      <c r="S31" s="7">
        <v>3503</v>
      </c>
      <c r="T31" s="7">
        <v>2437</v>
      </c>
      <c r="U31" s="7">
        <v>3987</v>
      </c>
      <c r="V31" s="8"/>
      <c r="W31" s="7">
        <f t="shared" si="0"/>
        <v>63981</v>
      </c>
      <c r="X31" s="11">
        <f>W31/W19-1</f>
        <v>7.9993923230140762E-2</v>
      </c>
    </row>
    <row r="32" spans="1:24" x14ac:dyDescent="0.25">
      <c r="A32" s="5">
        <v>41091</v>
      </c>
      <c r="B32" s="6">
        <f>SUM(Sales_Closed[[#This Row],[AZ | Phoenix]:[WA | Seattle]])</f>
        <v>65764</v>
      </c>
      <c r="C32" s="7">
        <v>7130</v>
      </c>
      <c r="D32" s="7">
        <v>5088</v>
      </c>
      <c r="E32" s="7">
        <v>7727</v>
      </c>
      <c r="F32" s="7">
        <v>2967</v>
      </c>
      <c r="G32" s="7">
        <v>2390</v>
      </c>
      <c r="H32" s="7">
        <v>3685</v>
      </c>
      <c r="I32" s="7">
        <v>1305</v>
      </c>
      <c r="J32" s="7">
        <v>629</v>
      </c>
      <c r="K32" s="7">
        <v>3465</v>
      </c>
      <c r="L32" s="7">
        <v>3960</v>
      </c>
      <c r="M32" s="7">
        <v>5490</v>
      </c>
      <c r="N32" s="7">
        <v>3380</v>
      </c>
      <c r="O32" s="7">
        <v>1683</v>
      </c>
      <c r="P32" s="7">
        <v>3135</v>
      </c>
      <c r="Q32" s="7">
        <v>2004</v>
      </c>
      <c r="R32" s="7">
        <v>2368</v>
      </c>
      <c r="S32" s="7">
        <v>3391</v>
      </c>
      <c r="T32" s="7">
        <v>2127</v>
      </c>
      <c r="U32" s="7">
        <v>3840</v>
      </c>
      <c r="W32" s="7">
        <f t="shared" ref="W32:W34" si="2">SUM(C32:I32,K32:M32,O32:R32,T32:U32)</f>
        <v>58364</v>
      </c>
      <c r="X32" s="11">
        <f t="shared" ref="X32:X34" si="3">W32/W20-1</f>
        <v>0.10046006486160342</v>
      </c>
    </row>
    <row r="33" spans="1:24" x14ac:dyDescent="0.25">
      <c r="A33" s="5">
        <v>41122</v>
      </c>
      <c r="B33" s="6">
        <f>SUM(Sales_Closed[[#This Row],[AZ | Phoenix]:[WA | Seattle]])</f>
        <v>70523</v>
      </c>
      <c r="C33" s="7">
        <v>7459</v>
      </c>
      <c r="D33" s="7">
        <v>5578</v>
      </c>
      <c r="E33" s="7">
        <v>8498</v>
      </c>
      <c r="F33" s="7">
        <v>3278</v>
      </c>
      <c r="G33" s="7">
        <v>2740</v>
      </c>
      <c r="H33" s="7">
        <v>3772</v>
      </c>
      <c r="I33" s="7">
        <v>1349</v>
      </c>
      <c r="J33" s="7">
        <v>742</v>
      </c>
      <c r="K33" s="7">
        <v>3635</v>
      </c>
      <c r="L33" s="7">
        <v>4062</v>
      </c>
      <c r="M33" s="7">
        <v>5920</v>
      </c>
      <c r="N33" s="7">
        <v>3504</v>
      </c>
      <c r="O33" s="7">
        <v>1810</v>
      </c>
      <c r="P33" s="7">
        <v>3398</v>
      </c>
      <c r="Q33" s="7">
        <v>2210</v>
      </c>
      <c r="R33" s="7">
        <v>2697</v>
      </c>
      <c r="S33" s="7">
        <v>3583</v>
      </c>
      <c r="T33" s="7">
        <v>2195</v>
      </c>
      <c r="U33" s="7">
        <v>4093</v>
      </c>
      <c r="W33" s="7">
        <f t="shared" si="2"/>
        <v>62694</v>
      </c>
      <c r="X33" s="11">
        <f t="shared" si="3"/>
        <v>0.10400084524899622</v>
      </c>
    </row>
    <row r="34" spans="1:24" x14ac:dyDescent="0.25">
      <c r="A34" s="5">
        <v>41153</v>
      </c>
      <c r="B34" s="6">
        <f>SUM(Sales_Closed[[#This Row],[AZ | Phoenix]:[WA | Seattle]])</f>
        <v>57670</v>
      </c>
      <c r="C34" s="7">
        <v>6873</v>
      </c>
      <c r="D34" s="7">
        <v>4464</v>
      </c>
      <c r="E34" s="7">
        <v>6770</v>
      </c>
      <c r="F34" s="7">
        <v>2699</v>
      </c>
      <c r="G34" s="7">
        <v>2186</v>
      </c>
      <c r="H34" s="7">
        <v>2992</v>
      </c>
      <c r="I34" s="7">
        <v>1169</v>
      </c>
      <c r="J34" s="7">
        <v>638</v>
      </c>
      <c r="K34" s="7">
        <v>3034</v>
      </c>
      <c r="L34" s="7">
        <v>3261</v>
      </c>
      <c r="M34" s="7">
        <v>4906</v>
      </c>
      <c r="N34" s="7">
        <v>2356</v>
      </c>
      <c r="O34" s="7">
        <v>1578</v>
      </c>
      <c r="P34" s="7">
        <v>2874</v>
      </c>
      <c r="Q34" s="7">
        <v>1790</v>
      </c>
      <c r="R34" s="7">
        <v>2186</v>
      </c>
      <c r="S34" s="7">
        <v>2894</v>
      </c>
      <c r="T34" s="7">
        <v>1661</v>
      </c>
      <c r="U34" s="7">
        <v>3339</v>
      </c>
      <c r="W34" s="7">
        <f t="shared" si="2"/>
        <v>51782</v>
      </c>
      <c r="X34" s="11">
        <f t="shared" si="3"/>
        <v>1.3663769477723076E-2</v>
      </c>
    </row>
    <row r="35" spans="1:24" x14ac:dyDescent="0.25">
      <c r="A35" s="5">
        <v>41183</v>
      </c>
      <c r="B35" s="6">
        <f>SUM(Sales_Closed[[#This Row],[AZ | Phoenix]:[WA | Seattle]])</f>
        <v>63300.627865269584</v>
      </c>
      <c r="C35" s="7">
        <v>7640.3188028262211</v>
      </c>
      <c r="D35" s="7">
        <v>5211.8257653176424</v>
      </c>
      <c r="E35" s="7">
        <v>7883.3666558497607</v>
      </c>
      <c r="F35" s="7">
        <v>3249.6178074566137</v>
      </c>
      <c r="G35" s="7">
        <v>2519.9452506876373</v>
      </c>
      <c r="H35" s="7">
        <v>3550.8946538547179</v>
      </c>
      <c r="I35" s="7">
        <v>1315.547164543025</v>
      </c>
      <c r="J35" s="7">
        <v>659.24224143030847</v>
      </c>
      <c r="K35" s="7">
        <v>3323.2308948119962</v>
      </c>
      <c r="L35" s="7">
        <v>3212.7091696199618</v>
      </c>
      <c r="M35" s="7">
        <v>5249.260383193513</v>
      </c>
      <c r="N35" s="7">
        <v>2431.4073510650283</v>
      </c>
      <c r="O35" s="7">
        <v>1405.0070903981114</v>
      </c>
      <c r="P35" s="7">
        <v>3326.4845026318171</v>
      </c>
      <c r="Q35" s="7">
        <v>1552.6110819894243</v>
      </c>
      <c r="R35" s="7">
        <v>2466.2217631921926</v>
      </c>
      <c r="S35" s="7">
        <v>2761.9357967110623</v>
      </c>
      <c r="T35" s="7">
        <v>1805.2037867911995</v>
      </c>
      <c r="U35" s="7">
        <v>3735.7977028993528</v>
      </c>
      <c r="W35" s="7">
        <f t="shared" ref="W35:W41" si="4">SUM(C35:I35,K35:M35,O35:R35,T35:U35)</f>
        <v>57448.042476063187</v>
      </c>
      <c r="X35" s="11">
        <f t="shared" ref="X35:X41" si="5">W35/W23-1</f>
        <v>0.21629493724727267</v>
      </c>
    </row>
    <row r="36" spans="1:24" x14ac:dyDescent="0.25">
      <c r="A36" s="5">
        <v>41214</v>
      </c>
      <c r="B36" s="6">
        <f>SUM(Sales_Closed[[#This Row],[AZ | Phoenix]:[WA | Seattle]])</f>
        <v>58389</v>
      </c>
      <c r="C36" s="7">
        <v>6583</v>
      </c>
      <c r="D36" s="7">
        <v>4814</v>
      </c>
      <c r="E36" s="7">
        <v>7141</v>
      </c>
      <c r="F36" s="7">
        <v>2780</v>
      </c>
      <c r="G36" s="7">
        <v>2221</v>
      </c>
      <c r="H36" s="7">
        <v>3310</v>
      </c>
      <c r="I36" s="7">
        <v>1220</v>
      </c>
      <c r="J36" s="7">
        <v>645</v>
      </c>
      <c r="K36" s="7">
        <v>2926</v>
      </c>
      <c r="L36" s="7">
        <v>3399</v>
      </c>
      <c r="M36" s="7">
        <v>4882</v>
      </c>
      <c r="N36" s="7">
        <v>2729</v>
      </c>
      <c r="O36" s="7">
        <v>1567</v>
      </c>
      <c r="P36" s="7">
        <v>2909</v>
      </c>
      <c r="Q36" s="7">
        <v>1230</v>
      </c>
      <c r="R36" s="7">
        <v>2087</v>
      </c>
      <c r="S36" s="7">
        <v>3065</v>
      </c>
      <c r="T36" s="7">
        <v>1451</v>
      </c>
      <c r="U36" s="7">
        <v>3430</v>
      </c>
      <c r="W36" s="7">
        <f t="shared" si="4"/>
        <v>51950</v>
      </c>
      <c r="X36" s="11">
        <f t="shared" si="5"/>
        <v>0.1427377312421636</v>
      </c>
    </row>
    <row r="37" spans="1:24" x14ac:dyDescent="0.25">
      <c r="A37" s="5">
        <v>41244</v>
      </c>
      <c r="B37" s="6">
        <f>SUM(Sales_Closed[[#This Row],[AZ | Phoenix]:[WA | Seattle]])</f>
        <v>59279</v>
      </c>
      <c r="C37" s="7">
        <v>6640</v>
      </c>
      <c r="D37" s="7">
        <v>5036</v>
      </c>
      <c r="E37" s="7">
        <v>8247</v>
      </c>
      <c r="F37" s="7">
        <v>1864</v>
      </c>
      <c r="G37" s="7">
        <v>2475</v>
      </c>
      <c r="H37" s="7">
        <v>3142</v>
      </c>
      <c r="I37" s="7">
        <v>1291</v>
      </c>
      <c r="J37" s="7">
        <v>680</v>
      </c>
      <c r="K37" s="7">
        <v>2660</v>
      </c>
      <c r="L37" s="7">
        <v>3172</v>
      </c>
      <c r="M37" s="7">
        <v>4909</v>
      </c>
      <c r="N37" s="7">
        <v>2609</v>
      </c>
      <c r="O37" s="7">
        <v>1408</v>
      </c>
      <c r="P37" s="7">
        <v>3221</v>
      </c>
      <c r="Q37" s="7">
        <v>1990</v>
      </c>
      <c r="R37" s="7">
        <v>2148</v>
      </c>
      <c r="S37" s="7">
        <v>2734</v>
      </c>
      <c r="T37" s="7">
        <v>1703</v>
      </c>
      <c r="U37" s="7">
        <v>3350</v>
      </c>
      <c r="W37" s="7">
        <f t="shared" si="4"/>
        <v>53256</v>
      </c>
      <c r="X37" s="11">
        <f t="shared" si="5"/>
        <v>7.8209462879355485E-2</v>
      </c>
    </row>
    <row r="38" spans="1:24" x14ac:dyDescent="0.25">
      <c r="A38" s="5">
        <v>41275</v>
      </c>
      <c r="B38" s="6">
        <f>SUM(Sales_Closed[[#This Row],[AZ | Phoenix]:[WA | Seattle]])</f>
        <v>47574</v>
      </c>
      <c r="C38" s="7">
        <v>5523</v>
      </c>
      <c r="D38" s="7">
        <v>4382</v>
      </c>
      <c r="E38" s="7">
        <v>5860</v>
      </c>
      <c r="F38" s="7">
        <v>2160</v>
      </c>
      <c r="G38" s="7">
        <v>1896</v>
      </c>
      <c r="H38" s="7">
        <v>2507</v>
      </c>
      <c r="I38" s="7">
        <v>802</v>
      </c>
      <c r="J38" s="7">
        <v>460</v>
      </c>
      <c r="K38" s="7">
        <v>2222</v>
      </c>
      <c r="L38" s="7">
        <v>2638</v>
      </c>
      <c r="M38" s="7">
        <v>4316</v>
      </c>
      <c r="N38" s="7">
        <v>1826</v>
      </c>
      <c r="O38" s="7">
        <v>1165</v>
      </c>
      <c r="P38" s="7">
        <v>2537</v>
      </c>
      <c r="Q38" s="7">
        <v>1712</v>
      </c>
      <c r="R38" s="7">
        <v>1649</v>
      </c>
      <c r="S38" s="7">
        <v>2129</v>
      </c>
      <c r="T38" s="7">
        <v>1279</v>
      </c>
      <c r="U38" s="7">
        <v>2511</v>
      </c>
      <c r="V38" s="7">
        <v>2511</v>
      </c>
      <c r="W38" s="7">
        <f t="shared" si="4"/>
        <v>43159</v>
      </c>
      <c r="X38" s="11">
        <f t="shared" si="5"/>
        <v>0.11332095134912046</v>
      </c>
    </row>
    <row r="39" spans="1:24" x14ac:dyDescent="0.25">
      <c r="A39" s="5">
        <v>41306</v>
      </c>
      <c r="B39" s="6">
        <f>SUM(Sales_Closed[[#This Row],[AZ | Phoenix]:[WA | Seattle]])</f>
        <v>47892.026621402692</v>
      </c>
      <c r="C39" s="7">
        <v>6389.629782221361</v>
      </c>
      <c r="D39" s="7">
        <v>4201.8026344555419</v>
      </c>
      <c r="E39" s="7">
        <v>5573.9094452442714</v>
      </c>
      <c r="F39" s="7">
        <v>2259.538395611025</v>
      </c>
      <c r="G39" s="7">
        <v>1823.201368889057</v>
      </c>
      <c r="H39" s="7">
        <v>2354.8236725296551</v>
      </c>
      <c r="I39" s="7">
        <v>827.9981078841563</v>
      </c>
      <c r="J39" s="7">
        <v>476.85123856605395</v>
      </c>
      <c r="K39" s="7">
        <v>2622.2741419291901</v>
      </c>
      <c r="L39" s="7">
        <v>2533.2038484971786</v>
      </c>
      <c r="M39" s="7">
        <v>3952.809303637599</v>
      </c>
      <c r="N39" s="7">
        <v>1458.4765972301902</v>
      </c>
      <c r="O39" s="7">
        <v>1009.3363121442925</v>
      </c>
      <c r="P39" s="7">
        <v>2984.1299580464956</v>
      </c>
      <c r="Q39" s="7">
        <v>1340.2277921225621</v>
      </c>
      <c r="R39" s="7">
        <v>1703.9550738907117</v>
      </c>
      <c r="S39" s="7">
        <v>2104.2981331685401</v>
      </c>
      <c r="T39" s="7">
        <v>1492.6977826678756</v>
      </c>
      <c r="U39" s="7">
        <v>2782.8630326669404</v>
      </c>
      <c r="W39" s="7">
        <f t="shared" si="4"/>
        <v>43852.400652437915</v>
      </c>
      <c r="X39" s="11">
        <f t="shared" si="5"/>
        <v>2.0701549064029878E-2</v>
      </c>
    </row>
    <row r="40" spans="1:24" x14ac:dyDescent="0.25">
      <c r="A40" s="5">
        <v>41334</v>
      </c>
      <c r="B40" s="6">
        <f>SUM(Sales_Closed[[#This Row],[AZ | Phoenix]:[WA | Seattle]])</f>
        <v>61420</v>
      </c>
      <c r="C40" s="7">
        <v>7573</v>
      </c>
      <c r="D40" s="7">
        <v>5037</v>
      </c>
      <c r="E40" s="7">
        <v>7376</v>
      </c>
      <c r="F40" s="7">
        <v>2775</v>
      </c>
      <c r="G40" s="7">
        <v>2473</v>
      </c>
      <c r="H40" s="7">
        <v>3116</v>
      </c>
      <c r="I40" s="7">
        <v>1159</v>
      </c>
      <c r="J40" s="7">
        <v>628</v>
      </c>
      <c r="K40" s="7">
        <v>3443</v>
      </c>
      <c r="L40" s="7">
        <v>3273</v>
      </c>
      <c r="M40" s="7">
        <v>5120</v>
      </c>
      <c r="N40" s="7">
        <v>2012</v>
      </c>
      <c r="O40" s="7">
        <v>1398</v>
      </c>
      <c r="P40" s="7">
        <v>3237</v>
      </c>
      <c r="Q40" s="7">
        <v>2159</v>
      </c>
      <c r="R40" s="7">
        <v>2329</v>
      </c>
      <c r="S40" s="7">
        <v>2597</v>
      </c>
      <c r="T40" s="7">
        <v>1975</v>
      </c>
      <c r="U40" s="7">
        <v>3740</v>
      </c>
      <c r="V40" s="7">
        <v>61420</v>
      </c>
      <c r="W40" s="7">
        <f t="shared" si="4"/>
        <v>56183</v>
      </c>
      <c r="X40" s="11">
        <f t="shared" si="5"/>
        <v>3.2547967360141206E-2</v>
      </c>
    </row>
    <row r="41" spans="1:24" x14ac:dyDescent="0.25">
      <c r="A41" s="5">
        <v>41365</v>
      </c>
      <c r="B41" s="6">
        <f>SUM(Sales_Closed[[#This Row],[AZ | Phoenix]:[WA | Seattle]])</f>
        <v>68316</v>
      </c>
      <c r="C41" s="7">
        <v>8106</v>
      </c>
      <c r="D41" s="7">
        <v>5358</v>
      </c>
      <c r="E41" s="7">
        <v>7736</v>
      </c>
      <c r="F41" s="7">
        <v>3046</v>
      </c>
      <c r="G41" s="7">
        <v>2556</v>
      </c>
      <c r="H41" s="7">
        <v>3373</v>
      </c>
      <c r="I41" s="7">
        <v>1338</v>
      </c>
      <c r="J41" s="7">
        <v>670</v>
      </c>
      <c r="K41" s="7">
        <v>3818</v>
      </c>
      <c r="L41" s="7">
        <v>3928</v>
      </c>
      <c r="M41" s="7">
        <v>6051</v>
      </c>
      <c r="N41" s="7">
        <v>2447</v>
      </c>
      <c r="O41" s="7">
        <v>1714</v>
      </c>
      <c r="P41" s="7">
        <v>3471</v>
      </c>
      <c r="Q41" s="7">
        <v>2495</v>
      </c>
      <c r="R41" s="7">
        <v>2623</v>
      </c>
      <c r="S41" s="7">
        <v>3142</v>
      </c>
      <c r="T41" s="7">
        <v>2316</v>
      </c>
      <c r="U41" s="7">
        <v>4128</v>
      </c>
      <c r="V41" s="7">
        <v>65813</v>
      </c>
      <c r="W41" s="7">
        <f t="shared" si="4"/>
        <v>62057</v>
      </c>
      <c r="X41" s="11">
        <f t="shared" si="5"/>
        <v>0.14485748547181987</v>
      </c>
    </row>
    <row r="42" spans="1:24" x14ac:dyDescent="0.25">
      <c r="A42" s="5">
        <v>41395</v>
      </c>
      <c r="B42" s="6">
        <f>SUM(Sales_Closed[[#This Row],[AZ | Phoenix]:[WA | Seattle]])</f>
        <v>79109.729925545704</v>
      </c>
      <c r="C42" s="7">
        <v>8814.8662436805062</v>
      </c>
      <c r="D42" s="7">
        <v>5647.3685840154803</v>
      </c>
      <c r="E42" s="7">
        <v>8352.2366279373146</v>
      </c>
      <c r="F42" s="7">
        <v>3349.4400822731245</v>
      </c>
      <c r="G42" s="7">
        <v>2901.5171126878954</v>
      </c>
      <c r="H42" s="7">
        <v>3513.277479302968</v>
      </c>
      <c r="I42" s="7">
        <v>1462.6529739656985</v>
      </c>
      <c r="J42" s="7">
        <v>723.40089703400042</v>
      </c>
      <c r="K42" s="7">
        <v>4907.0067911896149</v>
      </c>
      <c r="L42" s="7">
        <v>4984.4095996774195</v>
      </c>
      <c r="M42" s="7">
        <v>7148.1829537831745</v>
      </c>
      <c r="N42" s="7">
        <v>3377.3414445053363</v>
      </c>
      <c r="O42" s="7">
        <v>2176.740662272442</v>
      </c>
      <c r="P42" s="7">
        <v>3617.6249112219175</v>
      </c>
      <c r="Q42" s="7">
        <v>3284.1357650887376</v>
      </c>
      <c r="R42" s="7">
        <v>3117.1609758129744</v>
      </c>
      <c r="S42" s="7">
        <v>3996.9489920243441</v>
      </c>
      <c r="T42" s="7">
        <v>2861.9491037131879</v>
      </c>
      <c r="U42" s="7">
        <v>4873.4687253595675</v>
      </c>
    </row>
    <row r="43" spans="1:24" x14ac:dyDescent="0.25">
      <c r="A43" s="10" t="s">
        <v>21</v>
      </c>
      <c r="B43" s="10">
        <f>B42/B30-1</f>
        <v>0.13650341807760169</v>
      </c>
      <c r="C43" s="16">
        <f t="shared" ref="C43:U43" si="6">C42/C30-1</f>
        <v>6.8339139944310512E-2</v>
      </c>
      <c r="D43" s="16">
        <f t="shared" si="6"/>
        <v>-5.4042113230237776E-2</v>
      </c>
      <c r="E43" s="16">
        <f t="shared" si="6"/>
        <v>5.0992403163119926E-2</v>
      </c>
      <c r="F43" s="16">
        <f t="shared" si="6"/>
        <v>3.5695758278640799E-2</v>
      </c>
      <c r="G43" s="16">
        <f t="shared" si="6"/>
        <v>0.1360677810054407</v>
      </c>
      <c r="H43" s="16">
        <f t="shared" si="6"/>
        <v>-7.7153275728140791E-2</v>
      </c>
      <c r="I43" s="16">
        <f t="shared" si="6"/>
        <v>-6.3002579137925396E-2</v>
      </c>
      <c r="J43" s="16">
        <f t="shared" si="6"/>
        <v>-2.1108393729363462E-2</v>
      </c>
      <c r="K43" s="16">
        <f t="shared" si="6"/>
        <v>0.29883716018782813</v>
      </c>
      <c r="L43" s="16">
        <f t="shared" si="6"/>
        <v>0.13359326806400262</v>
      </c>
      <c r="M43" s="16">
        <f t="shared" si="6"/>
        <v>0.30608129979593901</v>
      </c>
      <c r="N43" s="16">
        <f t="shared" si="6"/>
        <v>0.15821037191541021</v>
      </c>
      <c r="O43" s="16">
        <f t="shared" si="6"/>
        <v>0.19077716754509955</v>
      </c>
      <c r="P43" s="16">
        <f t="shared" si="6"/>
        <v>-2.5686800101826668E-2</v>
      </c>
      <c r="Q43" s="16">
        <f t="shared" si="6"/>
        <v>0.74688072611103062</v>
      </c>
      <c r="R43" s="16">
        <f t="shared" si="6"/>
        <v>0.28701939546365574</v>
      </c>
      <c r="S43" s="16">
        <f t="shared" si="6"/>
        <v>0.2640572397293941</v>
      </c>
      <c r="T43" s="16">
        <f t="shared" si="6"/>
        <v>0.31221875456817427</v>
      </c>
      <c r="U43" s="16">
        <f t="shared" si="6"/>
        <v>0.28418148230818652</v>
      </c>
    </row>
    <row r="44" spans="1:24" x14ac:dyDescent="0.25">
      <c r="A44" s="10" t="s">
        <v>22</v>
      </c>
      <c r="B44" s="10">
        <f>B42/B41-1</f>
        <v>0.1579971006139953</v>
      </c>
      <c r="C44" s="16">
        <f t="shared" ref="C44:U44" si="7">C42/C41-1</f>
        <v>8.7449573609734266E-2</v>
      </c>
      <c r="D44" s="16">
        <f t="shared" si="7"/>
        <v>5.4006827923755107E-2</v>
      </c>
      <c r="E44" s="16">
        <f t="shared" si="7"/>
        <v>7.9658302473799791E-2</v>
      </c>
      <c r="F44" s="16">
        <f t="shared" si="7"/>
        <v>9.9619199695707428E-2</v>
      </c>
      <c r="G44" s="16">
        <f t="shared" si="7"/>
        <v>0.13517883907977124</v>
      </c>
      <c r="H44" s="16">
        <f t="shared" si="7"/>
        <v>4.1588342514962351E-2</v>
      </c>
      <c r="I44" s="16">
        <f t="shared" si="7"/>
        <v>9.3163657672420408E-2</v>
      </c>
      <c r="J44" s="16">
        <f t="shared" si="7"/>
        <v>7.9702831394030449E-2</v>
      </c>
      <c r="K44" s="16">
        <f t="shared" si="7"/>
        <v>0.28522964672331463</v>
      </c>
      <c r="L44" s="16">
        <f t="shared" si="7"/>
        <v>0.26894338077327373</v>
      </c>
      <c r="M44" s="16">
        <f t="shared" si="7"/>
        <v>0.18132258366933973</v>
      </c>
      <c r="N44" s="16">
        <f t="shared" si="7"/>
        <v>0.38019674887835575</v>
      </c>
      <c r="O44" s="16">
        <f t="shared" si="7"/>
        <v>0.26997704916711895</v>
      </c>
      <c r="P44" s="16">
        <f t="shared" si="7"/>
        <v>4.2242843912969619E-2</v>
      </c>
      <c r="Q44" s="16">
        <f t="shared" si="7"/>
        <v>0.3162868797950853</v>
      </c>
      <c r="R44" s="16">
        <f t="shared" si="7"/>
        <v>0.18839533961607868</v>
      </c>
      <c r="S44" s="16">
        <f t="shared" si="7"/>
        <v>0.27210343476268117</v>
      </c>
      <c r="T44" s="16">
        <f t="shared" si="7"/>
        <v>0.23572931939256825</v>
      </c>
      <c r="U44" s="16">
        <f t="shared" si="7"/>
        <v>0.18058835401152318</v>
      </c>
    </row>
  </sheetData>
  <conditionalFormatting sqref="B43:U44">
    <cfRule type="expression" dxfId="17" priority="1">
      <formula>B43&lt;=-0.0005</formula>
    </cfRule>
    <cfRule type="expression" dxfId="16" priority="2">
      <formula>B43&gt;=0.0005</formula>
    </cfRule>
    <cfRule type="expression" dxfId="15" priority="3">
      <formula>B43&lt;0.0005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pane xSplit="1" ySplit="1" topLeftCell="B14" activePane="bottomRight" state="frozenSplit"/>
      <selection pane="topRight" activeCell="B1" sqref="B1"/>
      <selection pane="bottomLeft" activeCell="A2" sqref="A2"/>
      <selection pane="bottomRight" activeCell="B42" sqref="B42"/>
    </sheetView>
  </sheetViews>
  <sheetFormatPr defaultRowHeight="15" x14ac:dyDescent="0.25"/>
  <cols>
    <col min="1" max="1" width="7.5703125" style="9" bestFit="1" customWidth="1"/>
    <col min="2" max="2" width="9.140625" style="6" customWidth="1"/>
    <col min="3" max="3" width="12.42578125" style="7" bestFit="1" customWidth="1"/>
    <col min="4" max="4" width="17.85546875" style="7" bestFit="1" customWidth="1"/>
    <col min="5" max="6" width="15.85546875" style="7" bestFit="1" customWidth="1"/>
    <col min="7" max="7" width="14.140625" style="7" bestFit="1" customWidth="1"/>
    <col min="8" max="8" width="17.28515625" style="7" bestFit="1" customWidth="1"/>
    <col min="9" max="9" width="12.7109375" style="7" bestFit="1" customWidth="1"/>
    <col min="10" max="10" width="12.42578125" style="7" bestFit="1" customWidth="1"/>
    <col min="11" max="11" width="11.85546875" style="7" bestFit="1" customWidth="1"/>
    <col min="12" max="12" width="16.140625" style="7" bestFit="1" customWidth="1"/>
    <col min="13" max="13" width="11.140625" style="7" bestFit="1" customWidth="1"/>
    <col min="14" max="14" width="12.140625" style="7" bestFit="1" customWidth="1"/>
    <col min="15" max="15" width="14.85546875" style="7" bestFit="1" customWidth="1"/>
    <col min="16" max="16" width="14.140625" style="7" bestFit="1" customWidth="1"/>
    <col min="17" max="17" width="15.42578125" style="7" bestFit="1" customWidth="1"/>
    <col min="18" max="18" width="13.140625" style="7" bestFit="1" customWidth="1"/>
    <col min="19" max="19" width="16.5703125" style="7" bestFit="1" customWidth="1"/>
    <col min="20" max="20" width="10.7109375" style="7" bestFit="1" customWidth="1"/>
    <col min="21" max="21" width="12.42578125" style="7" bestFit="1" customWidth="1"/>
    <col min="22" max="22" width="10.28515625" style="7" bestFit="1" customWidth="1"/>
    <col min="23" max="23" width="12.42578125" style="7" bestFit="1" customWidth="1"/>
    <col min="24" max="24" width="7" style="8" bestFit="1" customWidth="1"/>
    <col min="25" max="16384" width="9.140625" style="8"/>
  </cols>
  <sheetData>
    <row r="1" spans="1:23" s="4" customFormat="1" x14ac:dyDescent="0.25">
      <c r="A1" s="1" t="s">
        <v>0</v>
      </c>
      <c r="B1" s="2" t="s">
        <v>1</v>
      </c>
      <c r="C1" s="3" t="s">
        <v>8</v>
      </c>
      <c r="D1" s="3" t="s">
        <v>7</v>
      </c>
      <c r="E1" s="3" t="s">
        <v>2</v>
      </c>
      <c r="F1" s="3" t="s">
        <v>15</v>
      </c>
      <c r="G1" s="3" t="s">
        <v>11</v>
      </c>
      <c r="H1" s="3" t="s">
        <v>6</v>
      </c>
      <c r="I1" s="3" t="s">
        <v>18</v>
      </c>
      <c r="J1" s="3" t="s">
        <v>20</v>
      </c>
      <c r="K1" s="3" t="s">
        <v>14</v>
      </c>
      <c r="L1" s="3" t="s">
        <v>4</v>
      </c>
      <c r="M1" s="3" t="s">
        <v>3</v>
      </c>
      <c r="N1" s="3" t="s">
        <v>9</v>
      </c>
      <c r="O1" s="3" t="s">
        <v>13</v>
      </c>
      <c r="P1" s="3" t="s">
        <v>17</v>
      </c>
      <c r="Q1" s="3" t="s">
        <v>12</v>
      </c>
      <c r="R1" s="3" t="s">
        <v>16</v>
      </c>
      <c r="S1" s="3" t="s">
        <v>5</v>
      </c>
      <c r="T1" s="3" t="s">
        <v>19</v>
      </c>
      <c r="U1" s="3" t="s">
        <v>10</v>
      </c>
    </row>
    <row r="2" spans="1:23" x14ac:dyDescent="0.25">
      <c r="A2" s="5">
        <v>40179</v>
      </c>
      <c r="D2" s="7">
        <v>4220</v>
      </c>
      <c r="E2" s="7">
        <v>5131</v>
      </c>
      <c r="F2" s="7">
        <v>32</v>
      </c>
      <c r="G2" s="7">
        <v>1872</v>
      </c>
      <c r="H2" s="7">
        <v>2364</v>
      </c>
      <c r="I2" s="7">
        <v>903</v>
      </c>
      <c r="L2" s="7">
        <v>2640</v>
      </c>
      <c r="M2" s="7">
        <v>1605</v>
      </c>
      <c r="O2" s="7">
        <v>798</v>
      </c>
      <c r="Q2" s="7">
        <v>90</v>
      </c>
      <c r="R2" s="7">
        <v>18</v>
      </c>
      <c r="U2" s="7">
        <v>2584</v>
      </c>
      <c r="V2" s="8"/>
      <c r="W2" s="8"/>
    </row>
    <row r="3" spans="1:23" x14ac:dyDescent="0.25">
      <c r="A3" s="5">
        <v>40210</v>
      </c>
      <c r="D3" s="7">
        <v>4194</v>
      </c>
      <c r="E3" s="7">
        <v>5683</v>
      </c>
      <c r="F3" s="7">
        <v>24</v>
      </c>
      <c r="G3" s="7">
        <v>2043</v>
      </c>
      <c r="H3" s="7">
        <v>2634</v>
      </c>
      <c r="I3" s="7">
        <v>1029</v>
      </c>
      <c r="L3" s="7">
        <v>2496</v>
      </c>
      <c r="M3" s="7">
        <v>1778</v>
      </c>
      <c r="O3" s="7">
        <v>828</v>
      </c>
      <c r="Q3" s="7">
        <v>111</v>
      </c>
      <c r="R3" s="7">
        <v>728</v>
      </c>
      <c r="U3" s="7">
        <v>2823</v>
      </c>
      <c r="V3" s="8"/>
      <c r="W3" s="8"/>
    </row>
    <row r="4" spans="1:23" x14ac:dyDescent="0.25">
      <c r="A4" s="5">
        <v>40238</v>
      </c>
      <c r="C4" s="7">
        <v>4766</v>
      </c>
      <c r="D4" s="7">
        <v>5298</v>
      </c>
      <c r="E4" s="7">
        <v>7181</v>
      </c>
      <c r="F4" s="7">
        <v>29</v>
      </c>
      <c r="G4" s="7">
        <v>2402</v>
      </c>
      <c r="H4" s="7">
        <v>3405</v>
      </c>
      <c r="I4" s="7">
        <v>1414</v>
      </c>
      <c r="L4" s="7">
        <v>4174</v>
      </c>
      <c r="M4" s="7">
        <v>2267</v>
      </c>
      <c r="O4" s="7">
        <v>1386</v>
      </c>
      <c r="Q4" s="7">
        <v>157</v>
      </c>
      <c r="R4" s="7">
        <v>2383</v>
      </c>
      <c r="U4" s="7">
        <v>3774</v>
      </c>
      <c r="V4" s="8"/>
      <c r="W4" s="8"/>
    </row>
    <row r="5" spans="1:23" x14ac:dyDescent="0.25">
      <c r="A5" s="5">
        <v>40269</v>
      </c>
      <c r="C5" s="7">
        <v>8355</v>
      </c>
      <c r="D5" s="7">
        <v>5104</v>
      </c>
      <c r="E5" s="7">
        <v>7242</v>
      </c>
      <c r="F5" s="7">
        <v>38</v>
      </c>
      <c r="G5" s="7">
        <v>2652</v>
      </c>
      <c r="H5" s="7">
        <v>3679</v>
      </c>
      <c r="I5" s="7">
        <v>1468</v>
      </c>
      <c r="L5" s="7">
        <v>4907</v>
      </c>
      <c r="M5" s="7">
        <v>2367</v>
      </c>
      <c r="O5" s="7">
        <v>1854</v>
      </c>
      <c r="Q5" s="7">
        <v>163</v>
      </c>
      <c r="R5" s="7">
        <v>2653</v>
      </c>
      <c r="U5" s="7">
        <v>4111</v>
      </c>
      <c r="V5" s="8"/>
      <c r="W5" s="8"/>
    </row>
    <row r="6" spans="1:23" x14ac:dyDescent="0.25">
      <c r="A6" s="5">
        <v>40299</v>
      </c>
      <c r="C6" s="7">
        <v>5324</v>
      </c>
      <c r="D6" s="7">
        <v>4107</v>
      </c>
      <c r="E6" s="7">
        <v>6028</v>
      </c>
      <c r="F6" s="7">
        <v>38</v>
      </c>
      <c r="G6" s="7">
        <v>2084</v>
      </c>
      <c r="H6" s="7">
        <v>2992</v>
      </c>
      <c r="I6" s="7">
        <v>1204</v>
      </c>
      <c r="L6" s="7">
        <v>3185</v>
      </c>
      <c r="M6" s="7">
        <v>1478</v>
      </c>
      <c r="O6" s="7">
        <v>940</v>
      </c>
      <c r="Q6" s="7">
        <v>126</v>
      </c>
      <c r="R6" s="7">
        <v>1434</v>
      </c>
      <c r="U6" s="7">
        <v>2172</v>
      </c>
      <c r="V6" s="8"/>
      <c r="W6" s="8"/>
    </row>
    <row r="7" spans="1:23" x14ac:dyDescent="0.25">
      <c r="A7" s="5">
        <v>40330</v>
      </c>
      <c r="C7" s="7">
        <v>5410</v>
      </c>
      <c r="D7" s="7">
        <v>4375</v>
      </c>
      <c r="E7" s="7">
        <v>6399</v>
      </c>
      <c r="F7" s="7">
        <v>47</v>
      </c>
      <c r="G7" s="7">
        <v>2257</v>
      </c>
      <c r="H7" s="7">
        <v>2994</v>
      </c>
      <c r="I7" s="7">
        <v>1193</v>
      </c>
      <c r="L7" s="7">
        <v>3296</v>
      </c>
      <c r="M7" s="7">
        <v>1541</v>
      </c>
      <c r="O7" s="7">
        <v>1143</v>
      </c>
      <c r="Q7" s="7">
        <v>168</v>
      </c>
      <c r="R7" s="7">
        <v>1461</v>
      </c>
      <c r="U7" s="7">
        <v>2434</v>
      </c>
      <c r="V7" s="8"/>
      <c r="W7" s="8"/>
    </row>
    <row r="8" spans="1:23" x14ac:dyDescent="0.25">
      <c r="A8" s="5">
        <v>40360</v>
      </c>
      <c r="C8" s="7">
        <v>5341</v>
      </c>
      <c r="D8" s="7">
        <v>4141</v>
      </c>
      <c r="E8" s="7">
        <v>6023</v>
      </c>
      <c r="F8" s="7">
        <v>74</v>
      </c>
      <c r="G8" s="7">
        <v>2164</v>
      </c>
      <c r="H8" s="7">
        <v>2884</v>
      </c>
      <c r="I8" s="7">
        <v>1134</v>
      </c>
      <c r="L8" s="7">
        <v>3123</v>
      </c>
      <c r="M8" s="7">
        <v>1536</v>
      </c>
      <c r="O8" s="7">
        <v>1163</v>
      </c>
      <c r="Q8" s="7">
        <v>189</v>
      </c>
      <c r="R8" s="7">
        <v>1559</v>
      </c>
      <c r="U8" s="7">
        <v>2607</v>
      </c>
      <c r="V8" s="8"/>
      <c r="W8" s="8"/>
    </row>
    <row r="9" spans="1:23" x14ac:dyDescent="0.25">
      <c r="A9" s="5">
        <v>40391</v>
      </c>
      <c r="C9" s="7">
        <v>5749</v>
      </c>
      <c r="D9" s="7">
        <v>4305</v>
      </c>
      <c r="E9" s="7">
        <v>6471</v>
      </c>
      <c r="F9" s="7">
        <v>180</v>
      </c>
      <c r="G9" s="7">
        <v>2372</v>
      </c>
      <c r="H9" s="7">
        <v>3016</v>
      </c>
      <c r="I9" s="7">
        <v>1107</v>
      </c>
      <c r="L9" s="7">
        <v>3053</v>
      </c>
      <c r="M9" s="7">
        <v>1582</v>
      </c>
      <c r="O9" s="7">
        <v>1076</v>
      </c>
      <c r="Q9" s="7">
        <v>213</v>
      </c>
      <c r="R9" s="7">
        <v>1603</v>
      </c>
      <c r="U9" s="7">
        <v>2640</v>
      </c>
      <c r="V9" s="8"/>
      <c r="W9" s="8"/>
    </row>
    <row r="10" spans="1:23" x14ac:dyDescent="0.25">
      <c r="A10" s="5">
        <v>40422</v>
      </c>
      <c r="C10" s="7">
        <v>5725</v>
      </c>
      <c r="D10" s="7">
        <v>4257</v>
      </c>
      <c r="E10" s="7">
        <v>6156</v>
      </c>
      <c r="F10" s="7">
        <v>646</v>
      </c>
      <c r="G10" s="7">
        <v>2205</v>
      </c>
      <c r="H10" s="7">
        <v>2771</v>
      </c>
      <c r="I10" s="7">
        <v>1078</v>
      </c>
      <c r="L10" s="7">
        <v>2795</v>
      </c>
      <c r="M10" s="7">
        <v>1594</v>
      </c>
      <c r="O10" s="7">
        <v>961</v>
      </c>
      <c r="Q10" s="7">
        <v>384</v>
      </c>
      <c r="R10" s="7">
        <v>1524</v>
      </c>
      <c r="U10" s="7">
        <v>2639</v>
      </c>
      <c r="V10" s="8"/>
      <c r="W10" s="8"/>
    </row>
    <row r="11" spans="1:23" x14ac:dyDescent="0.25">
      <c r="A11" s="5">
        <v>40452</v>
      </c>
      <c r="C11" s="7">
        <v>5699</v>
      </c>
      <c r="D11" s="7">
        <v>4190</v>
      </c>
      <c r="E11" s="7">
        <v>5958</v>
      </c>
      <c r="F11" s="7">
        <v>1748</v>
      </c>
      <c r="G11" s="7">
        <v>2151</v>
      </c>
      <c r="H11" s="7">
        <v>2848</v>
      </c>
      <c r="I11" s="7">
        <v>1188</v>
      </c>
      <c r="L11" s="7">
        <v>2876</v>
      </c>
      <c r="M11" s="7">
        <v>1353</v>
      </c>
      <c r="O11" s="7">
        <v>992</v>
      </c>
      <c r="Q11" s="7">
        <v>802</v>
      </c>
      <c r="R11" s="7">
        <v>1547</v>
      </c>
      <c r="U11" s="7">
        <v>2716</v>
      </c>
      <c r="V11" s="8"/>
      <c r="W11" s="8"/>
    </row>
    <row r="12" spans="1:23" x14ac:dyDescent="0.25">
      <c r="A12" s="5">
        <v>40483</v>
      </c>
      <c r="C12" s="7">
        <v>6009</v>
      </c>
      <c r="D12" s="7">
        <v>3620</v>
      </c>
      <c r="E12" s="7">
        <v>5388</v>
      </c>
      <c r="F12" s="7">
        <v>2032</v>
      </c>
      <c r="G12" s="7">
        <v>1844</v>
      </c>
      <c r="H12" s="7">
        <v>2629</v>
      </c>
      <c r="I12" s="7">
        <v>1064</v>
      </c>
      <c r="L12" s="7">
        <v>2556</v>
      </c>
      <c r="M12" s="7">
        <v>1204</v>
      </c>
      <c r="O12" s="7">
        <v>946</v>
      </c>
      <c r="P12" s="7">
        <v>1231</v>
      </c>
      <c r="Q12" s="7">
        <v>1090</v>
      </c>
      <c r="R12" s="7">
        <v>1256</v>
      </c>
      <c r="T12" s="7">
        <v>1129</v>
      </c>
      <c r="U12" s="7">
        <v>2307</v>
      </c>
      <c r="V12" s="8"/>
      <c r="W12" s="8"/>
    </row>
    <row r="13" spans="1:23" x14ac:dyDescent="0.25">
      <c r="A13" s="5">
        <v>40513</v>
      </c>
      <c r="C13" s="7">
        <v>5682</v>
      </c>
      <c r="D13" s="7">
        <v>3377</v>
      </c>
      <c r="E13" s="7">
        <v>4688</v>
      </c>
      <c r="F13" s="7">
        <v>1890</v>
      </c>
      <c r="G13" s="7">
        <v>1654</v>
      </c>
      <c r="H13" s="7">
        <v>2315</v>
      </c>
      <c r="I13" s="7">
        <v>862</v>
      </c>
      <c r="L13" s="7">
        <v>2095</v>
      </c>
      <c r="M13" s="7">
        <v>1173</v>
      </c>
      <c r="O13" s="7">
        <v>805</v>
      </c>
      <c r="P13" s="7">
        <v>1158</v>
      </c>
      <c r="Q13" s="7">
        <v>1085</v>
      </c>
      <c r="R13" s="7">
        <v>1215</v>
      </c>
      <c r="T13" s="7">
        <v>972</v>
      </c>
      <c r="U13" s="7">
        <v>2018</v>
      </c>
      <c r="V13" s="8"/>
      <c r="W13" s="8"/>
    </row>
    <row r="14" spans="1:23" x14ac:dyDescent="0.25">
      <c r="A14" s="5">
        <v>40544</v>
      </c>
      <c r="B14" s="6">
        <f>SUM(C14:I14,K14:M14,O14:R14,T14:U14)</f>
        <v>38643</v>
      </c>
      <c r="C14" s="7">
        <v>6985</v>
      </c>
      <c r="D14" s="7">
        <v>4010</v>
      </c>
      <c r="E14" s="7">
        <v>5345</v>
      </c>
      <c r="F14" s="7">
        <v>2232</v>
      </c>
      <c r="G14" s="7">
        <v>1939</v>
      </c>
      <c r="H14" s="7">
        <v>2506</v>
      </c>
      <c r="I14" s="7">
        <v>1019</v>
      </c>
      <c r="K14" s="7">
        <v>2495</v>
      </c>
      <c r="L14" s="7">
        <v>2520</v>
      </c>
      <c r="M14" s="7">
        <v>1342</v>
      </c>
      <c r="O14" s="7">
        <v>861</v>
      </c>
      <c r="P14" s="7">
        <v>1199</v>
      </c>
      <c r="Q14" s="7">
        <v>936</v>
      </c>
      <c r="R14" s="7">
        <v>1412</v>
      </c>
      <c r="T14" s="7">
        <v>1294</v>
      </c>
      <c r="U14" s="7">
        <v>2548</v>
      </c>
      <c r="V14" s="8"/>
      <c r="W14" s="7">
        <f>SUM(C14:I14,K14:M14,O14:R14,T14:U14)</f>
        <v>38643</v>
      </c>
    </row>
    <row r="15" spans="1:23" x14ac:dyDescent="0.25">
      <c r="A15" s="5">
        <v>40575</v>
      </c>
      <c r="B15" s="6">
        <f t="shared" ref="B15:B30" si="0">SUM(C15:I15,K15:M15,O15:R15,T15:U15)</f>
        <v>40487</v>
      </c>
      <c r="C15" s="7">
        <v>7537</v>
      </c>
      <c r="D15" s="7">
        <v>3987</v>
      </c>
      <c r="E15" s="7">
        <v>5757</v>
      </c>
      <c r="F15" s="7">
        <v>2217</v>
      </c>
      <c r="G15" s="7">
        <v>2022</v>
      </c>
      <c r="H15" s="7">
        <v>2698</v>
      </c>
      <c r="I15" s="7">
        <v>1065</v>
      </c>
      <c r="K15" s="7">
        <v>2128</v>
      </c>
      <c r="L15" s="7">
        <v>2799</v>
      </c>
      <c r="M15" s="7">
        <v>1402</v>
      </c>
      <c r="O15" s="7">
        <v>985</v>
      </c>
      <c r="P15" s="7">
        <v>1226</v>
      </c>
      <c r="Q15" s="7">
        <v>1068</v>
      </c>
      <c r="R15" s="7">
        <v>1473</v>
      </c>
      <c r="T15" s="7">
        <v>1348</v>
      </c>
      <c r="U15" s="7">
        <v>2775</v>
      </c>
      <c r="V15" s="8"/>
      <c r="W15" s="7">
        <f t="shared" ref="W15:W31" si="1">SUM(C15:I15,K15:M15,O15:R15,T15:U15)</f>
        <v>40487</v>
      </c>
    </row>
    <row r="16" spans="1:23" x14ac:dyDescent="0.25">
      <c r="A16" s="5">
        <v>40603</v>
      </c>
      <c r="B16" s="6">
        <f t="shared" si="0"/>
        <v>50613</v>
      </c>
      <c r="C16" s="7">
        <v>8953</v>
      </c>
      <c r="D16" s="7">
        <v>4886</v>
      </c>
      <c r="E16" s="7">
        <v>6876</v>
      </c>
      <c r="F16" s="7">
        <v>2791</v>
      </c>
      <c r="G16" s="7">
        <v>2489</v>
      </c>
      <c r="H16" s="7">
        <v>3280</v>
      </c>
      <c r="I16" s="7">
        <v>1301</v>
      </c>
      <c r="K16" s="7">
        <v>2772</v>
      </c>
      <c r="L16" s="7">
        <v>3704</v>
      </c>
      <c r="M16" s="7">
        <v>1980</v>
      </c>
      <c r="O16" s="7">
        <v>1293</v>
      </c>
      <c r="P16" s="7">
        <v>1597</v>
      </c>
      <c r="Q16" s="7">
        <v>1558</v>
      </c>
      <c r="R16" s="7">
        <v>1904</v>
      </c>
      <c r="T16" s="7">
        <v>1796</v>
      </c>
      <c r="U16" s="7">
        <v>3433</v>
      </c>
      <c r="V16" s="8"/>
      <c r="W16" s="7">
        <f t="shared" si="1"/>
        <v>50613</v>
      </c>
    </row>
    <row r="17" spans="1:24" x14ac:dyDescent="0.25">
      <c r="A17" s="5">
        <v>40634</v>
      </c>
      <c r="B17" s="6">
        <f t="shared" si="0"/>
        <v>47483</v>
      </c>
      <c r="C17" s="7">
        <v>8232</v>
      </c>
      <c r="D17" s="7">
        <v>4435</v>
      </c>
      <c r="E17" s="7">
        <v>6125</v>
      </c>
      <c r="F17" s="7">
        <v>2649</v>
      </c>
      <c r="G17" s="7">
        <v>2286</v>
      </c>
      <c r="H17" s="7">
        <v>3166</v>
      </c>
      <c r="I17" s="7">
        <v>1181</v>
      </c>
      <c r="K17" s="7">
        <v>2841</v>
      </c>
      <c r="L17" s="7">
        <v>3622</v>
      </c>
      <c r="M17" s="7">
        <v>1905</v>
      </c>
      <c r="O17" s="7">
        <v>1257</v>
      </c>
      <c r="P17" s="7">
        <v>1353</v>
      </c>
      <c r="Q17" s="7">
        <v>1468</v>
      </c>
      <c r="R17" s="7">
        <v>1877</v>
      </c>
      <c r="T17" s="7">
        <v>1837</v>
      </c>
      <c r="U17" s="7">
        <v>3249</v>
      </c>
      <c r="V17" s="8"/>
      <c r="W17" s="7">
        <f t="shared" si="1"/>
        <v>47483</v>
      </c>
    </row>
    <row r="18" spans="1:24" x14ac:dyDescent="0.25">
      <c r="A18" s="5">
        <v>40664</v>
      </c>
      <c r="B18" s="6">
        <f t="shared" si="0"/>
        <v>48595</v>
      </c>
      <c r="C18" s="7">
        <v>7996</v>
      </c>
      <c r="D18" s="7">
        <v>4331</v>
      </c>
      <c r="E18" s="7">
        <v>6422</v>
      </c>
      <c r="F18" s="7">
        <v>2659</v>
      </c>
      <c r="G18" s="7">
        <v>2327</v>
      </c>
      <c r="H18" s="7">
        <v>3480</v>
      </c>
      <c r="I18" s="7">
        <v>1302</v>
      </c>
      <c r="K18" s="7">
        <v>2734</v>
      </c>
      <c r="L18" s="7">
        <v>3878</v>
      </c>
      <c r="M18" s="7">
        <v>1824</v>
      </c>
      <c r="O18" s="7">
        <v>1369</v>
      </c>
      <c r="P18" s="7">
        <v>1383</v>
      </c>
      <c r="Q18" s="7">
        <v>1517</v>
      </c>
      <c r="R18" s="7">
        <v>2005</v>
      </c>
      <c r="T18" s="7">
        <v>1937</v>
      </c>
      <c r="U18" s="7">
        <v>3431</v>
      </c>
      <c r="V18" s="8"/>
      <c r="W18" s="7">
        <f t="shared" si="1"/>
        <v>48595</v>
      </c>
    </row>
    <row r="19" spans="1:24" x14ac:dyDescent="0.25">
      <c r="A19" s="5">
        <v>40695</v>
      </c>
      <c r="B19" s="6">
        <f t="shared" si="0"/>
        <v>46852</v>
      </c>
      <c r="C19" s="7">
        <v>7423</v>
      </c>
      <c r="D19" s="7">
        <v>4450</v>
      </c>
      <c r="E19" s="7">
        <v>6513</v>
      </c>
      <c r="F19" s="7">
        <v>2663</v>
      </c>
      <c r="G19" s="7">
        <v>2282</v>
      </c>
      <c r="H19" s="7">
        <v>3323</v>
      </c>
      <c r="I19" s="7">
        <v>1180</v>
      </c>
      <c r="K19" s="7">
        <v>2716</v>
      </c>
      <c r="L19" s="7">
        <v>3528</v>
      </c>
      <c r="M19" s="7">
        <v>1640</v>
      </c>
      <c r="O19" s="7">
        <v>1201</v>
      </c>
      <c r="P19" s="7">
        <v>1290</v>
      </c>
      <c r="Q19" s="7">
        <v>1606</v>
      </c>
      <c r="R19" s="7">
        <v>1850</v>
      </c>
      <c r="T19" s="7">
        <v>1878</v>
      </c>
      <c r="U19" s="7">
        <v>3309</v>
      </c>
      <c r="V19" s="8"/>
      <c r="W19" s="7">
        <f t="shared" si="1"/>
        <v>46852</v>
      </c>
      <c r="X19" s="11"/>
    </row>
    <row r="20" spans="1:24" x14ac:dyDescent="0.25">
      <c r="A20" s="5">
        <v>40725</v>
      </c>
      <c r="B20" s="6">
        <f t="shared" si="0"/>
        <v>43438</v>
      </c>
      <c r="C20" s="7">
        <v>6613</v>
      </c>
      <c r="D20" s="7">
        <v>4198</v>
      </c>
      <c r="E20" s="7">
        <v>6009</v>
      </c>
      <c r="F20" s="7">
        <v>2433</v>
      </c>
      <c r="G20" s="7">
        <v>2085</v>
      </c>
      <c r="H20" s="7">
        <v>3139</v>
      </c>
      <c r="I20" s="7">
        <v>1194</v>
      </c>
      <c r="K20" s="7">
        <v>2427</v>
      </c>
      <c r="L20" s="7">
        <v>3051</v>
      </c>
      <c r="M20" s="7">
        <v>1509</v>
      </c>
      <c r="O20" s="7">
        <v>1156</v>
      </c>
      <c r="P20" s="7">
        <v>1360</v>
      </c>
      <c r="Q20" s="7">
        <v>1406</v>
      </c>
      <c r="R20" s="7">
        <v>1813</v>
      </c>
      <c r="T20" s="7">
        <v>1732</v>
      </c>
      <c r="U20" s="7">
        <v>3313</v>
      </c>
      <c r="V20" s="8"/>
      <c r="W20" s="7">
        <f t="shared" si="1"/>
        <v>43438</v>
      </c>
      <c r="X20" s="11"/>
    </row>
    <row r="21" spans="1:24" x14ac:dyDescent="0.25">
      <c r="A21" s="5">
        <v>40756</v>
      </c>
      <c r="B21" s="6">
        <f t="shared" si="0"/>
        <v>45075</v>
      </c>
      <c r="C21" s="7">
        <v>7015</v>
      </c>
      <c r="D21" s="7">
        <v>4418</v>
      </c>
      <c r="E21" s="7">
        <v>6603</v>
      </c>
      <c r="F21" s="7">
        <v>2722</v>
      </c>
      <c r="G21" s="7">
        <v>2321</v>
      </c>
      <c r="H21" s="7">
        <v>3207</v>
      </c>
      <c r="I21" s="7">
        <v>1144</v>
      </c>
      <c r="K21" s="7">
        <v>2543</v>
      </c>
      <c r="L21" s="7">
        <v>2734</v>
      </c>
      <c r="M21" s="7">
        <v>1500</v>
      </c>
      <c r="O21" s="7">
        <v>1089</v>
      </c>
      <c r="P21" s="7">
        <v>1419</v>
      </c>
      <c r="Q21" s="7">
        <v>1433</v>
      </c>
      <c r="R21" s="7">
        <v>2048</v>
      </c>
      <c r="T21" s="7">
        <v>1515</v>
      </c>
      <c r="U21" s="7">
        <v>3364</v>
      </c>
      <c r="V21" s="8"/>
      <c r="W21" s="7">
        <f t="shared" si="1"/>
        <v>45075</v>
      </c>
      <c r="X21" s="11"/>
    </row>
    <row r="22" spans="1:24" x14ac:dyDescent="0.25">
      <c r="A22" s="5">
        <v>40787</v>
      </c>
      <c r="B22" s="6">
        <f t="shared" si="0"/>
        <v>39961</v>
      </c>
      <c r="C22" s="7">
        <v>5868</v>
      </c>
      <c r="D22" s="7">
        <v>4147</v>
      </c>
      <c r="E22" s="7">
        <v>5923</v>
      </c>
      <c r="F22" s="7">
        <v>2343</v>
      </c>
      <c r="G22" s="7">
        <v>2155</v>
      </c>
      <c r="H22" s="7">
        <v>2990</v>
      </c>
      <c r="I22" s="7">
        <v>1087</v>
      </c>
      <c r="K22" s="7">
        <v>2189</v>
      </c>
      <c r="L22" s="7">
        <v>2424</v>
      </c>
      <c r="M22" s="7">
        <v>1348</v>
      </c>
      <c r="O22" s="7">
        <v>913</v>
      </c>
      <c r="P22" s="7">
        <v>1392</v>
      </c>
      <c r="Q22" s="7">
        <v>1142</v>
      </c>
      <c r="R22" s="7">
        <v>1616</v>
      </c>
      <c r="T22" s="7">
        <v>1432</v>
      </c>
      <c r="U22" s="7">
        <v>2992</v>
      </c>
      <c r="V22" s="8"/>
      <c r="W22" s="7">
        <f t="shared" si="1"/>
        <v>39961</v>
      </c>
      <c r="X22" s="11"/>
    </row>
    <row r="23" spans="1:24" x14ac:dyDescent="0.25">
      <c r="A23" s="5">
        <v>40817</v>
      </c>
      <c r="B23" s="6">
        <f t="shared" si="0"/>
        <v>40265</v>
      </c>
      <c r="C23" s="7">
        <v>5803</v>
      </c>
      <c r="D23" s="7">
        <v>4214</v>
      </c>
      <c r="E23" s="7">
        <v>6191</v>
      </c>
      <c r="F23" s="7">
        <v>1853</v>
      </c>
      <c r="G23" s="7">
        <v>2138</v>
      </c>
      <c r="H23" s="7">
        <v>2978</v>
      </c>
      <c r="I23" s="7">
        <v>1029</v>
      </c>
      <c r="K23" s="7">
        <v>2265</v>
      </c>
      <c r="L23" s="7">
        <v>2641</v>
      </c>
      <c r="M23" s="7">
        <v>1449</v>
      </c>
      <c r="O23" s="7">
        <v>1049</v>
      </c>
      <c r="P23" s="7">
        <v>1223</v>
      </c>
      <c r="Q23" s="7">
        <v>1229</v>
      </c>
      <c r="R23" s="7">
        <v>1735</v>
      </c>
      <c r="T23" s="7">
        <v>1372</v>
      </c>
      <c r="U23" s="7">
        <v>3096</v>
      </c>
      <c r="V23" s="8"/>
      <c r="W23" s="7">
        <f t="shared" si="1"/>
        <v>40265</v>
      </c>
      <c r="X23" s="11"/>
    </row>
    <row r="24" spans="1:24" x14ac:dyDescent="0.25">
      <c r="A24" s="5">
        <v>40848</v>
      </c>
      <c r="B24" s="6">
        <f t="shared" si="0"/>
        <v>37011</v>
      </c>
      <c r="C24" s="7">
        <v>5449</v>
      </c>
      <c r="D24" s="7">
        <v>4286</v>
      </c>
      <c r="E24" s="7">
        <v>5555</v>
      </c>
      <c r="F24" s="7">
        <v>1700</v>
      </c>
      <c r="G24" s="7">
        <v>2071</v>
      </c>
      <c r="H24" s="7">
        <v>2795</v>
      </c>
      <c r="I24" s="7">
        <v>1013</v>
      </c>
      <c r="K24" s="7">
        <v>1991</v>
      </c>
      <c r="L24" s="7">
        <v>2246</v>
      </c>
      <c r="M24" s="7">
        <v>1272</v>
      </c>
      <c r="O24" s="7">
        <v>897</v>
      </c>
      <c r="P24" s="7">
        <v>1214</v>
      </c>
      <c r="Q24" s="7">
        <v>1171</v>
      </c>
      <c r="R24" s="7">
        <v>1429</v>
      </c>
      <c r="T24" s="7">
        <v>1245</v>
      </c>
      <c r="U24" s="7">
        <v>2677</v>
      </c>
      <c r="V24" s="8"/>
      <c r="W24" s="7">
        <f t="shared" si="1"/>
        <v>37011</v>
      </c>
      <c r="X24" s="11"/>
    </row>
    <row r="25" spans="1:24" x14ac:dyDescent="0.25">
      <c r="A25" s="5">
        <v>40878</v>
      </c>
      <c r="B25" s="6">
        <f t="shared" si="0"/>
        <v>33377</v>
      </c>
      <c r="C25" s="7">
        <v>5058</v>
      </c>
      <c r="D25" s="7">
        <v>4226</v>
      </c>
      <c r="E25" s="7">
        <v>4956</v>
      </c>
      <c r="F25" s="7">
        <v>1942</v>
      </c>
      <c r="G25" s="7">
        <v>1883</v>
      </c>
      <c r="H25" s="7">
        <v>2401</v>
      </c>
      <c r="I25" s="7">
        <v>821</v>
      </c>
      <c r="K25" s="7">
        <v>1632</v>
      </c>
      <c r="L25" s="7">
        <v>1900</v>
      </c>
      <c r="M25" s="7">
        <v>1148</v>
      </c>
      <c r="O25" s="7">
        <v>703</v>
      </c>
      <c r="P25" s="7">
        <v>1127</v>
      </c>
      <c r="Q25" s="7">
        <v>997</v>
      </c>
      <c r="R25" s="7">
        <v>1203</v>
      </c>
      <c r="T25" s="7">
        <v>1022</v>
      </c>
      <c r="U25" s="7">
        <v>2358</v>
      </c>
      <c r="V25" s="8"/>
      <c r="W25" s="7">
        <f t="shared" si="1"/>
        <v>33377</v>
      </c>
      <c r="X25" s="11"/>
    </row>
    <row r="26" spans="1:24" x14ac:dyDescent="0.25">
      <c r="A26" s="5">
        <v>40909</v>
      </c>
      <c r="B26" s="6">
        <f t="shared" si="0"/>
        <v>39962</v>
      </c>
      <c r="C26" s="7">
        <v>6550</v>
      </c>
      <c r="D26" s="7">
        <v>4979</v>
      </c>
      <c r="E26" s="7">
        <v>5983</v>
      </c>
      <c r="F26" s="7">
        <v>2213</v>
      </c>
      <c r="G26" s="7">
        <v>2348</v>
      </c>
      <c r="H26" s="7">
        <v>2624</v>
      </c>
      <c r="I26" s="7">
        <v>949</v>
      </c>
      <c r="J26" s="7">
        <v>583</v>
      </c>
      <c r="K26" s="7">
        <v>2171</v>
      </c>
      <c r="L26" s="7">
        <v>2265</v>
      </c>
      <c r="M26" s="7">
        <v>1367</v>
      </c>
      <c r="O26" s="7">
        <v>870</v>
      </c>
      <c r="P26" s="7">
        <v>1168</v>
      </c>
      <c r="Q26" s="7">
        <v>858</v>
      </c>
      <c r="R26" s="7">
        <v>1494</v>
      </c>
      <c r="T26" s="7">
        <v>1325</v>
      </c>
      <c r="U26" s="7">
        <v>2798</v>
      </c>
      <c r="V26" s="8"/>
      <c r="W26" s="7">
        <f t="shared" si="1"/>
        <v>39962</v>
      </c>
      <c r="X26" s="11">
        <f t="shared" ref="X26:X30" si="2">W26/W14-1</f>
        <v>3.413296069145777E-2</v>
      </c>
    </row>
    <row r="27" spans="1:24" x14ac:dyDescent="0.25">
      <c r="A27" s="5">
        <v>40940</v>
      </c>
      <c r="B27" s="6">
        <f t="shared" si="0"/>
        <v>46591</v>
      </c>
      <c r="C27" s="7">
        <v>6474</v>
      </c>
      <c r="D27" s="7">
        <v>5532</v>
      </c>
      <c r="E27" s="7">
        <v>7085</v>
      </c>
      <c r="F27" s="7">
        <v>2543</v>
      </c>
      <c r="G27" s="7">
        <v>2456</v>
      </c>
      <c r="H27" s="7">
        <v>3226</v>
      </c>
      <c r="I27" s="7">
        <v>1153</v>
      </c>
      <c r="J27" s="7">
        <v>689</v>
      </c>
      <c r="K27" s="7">
        <v>2488</v>
      </c>
      <c r="L27" s="7">
        <v>3135</v>
      </c>
      <c r="M27" s="7">
        <v>1783</v>
      </c>
      <c r="O27" s="7">
        <v>1163</v>
      </c>
      <c r="P27" s="7">
        <v>1256</v>
      </c>
      <c r="Q27" s="7">
        <v>1295</v>
      </c>
      <c r="R27" s="7">
        <v>1810</v>
      </c>
      <c r="T27" s="7">
        <v>1710</v>
      </c>
      <c r="U27" s="7">
        <v>3482</v>
      </c>
      <c r="V27" s="8"/>
      <c r="W27" s="7">
        <f t="shared" si="1"/>
        <v>46591</v>
      </c>
      <c r="X27" s="11">
        <f t="shared" si="2"/>
        <v>0.15076444290760005</v>
      </c>
    </row>
    <row r="28" spans="1:24" x14ac:dyDescent="0.25">
      <c r="A28" s="5">
        <v>40969</v>
      </c>
      <c r="B28" s="6">
        <f t="shared" si="0"/>
        <v>54526</v>
      </c>
      <c r="C28" s="7">
        <v>6707</v>
      </c>
      <c r="D28" s="7">
        <v>6313</v>
      </c>
      <c r="E28" s="7">
        <v>8132</v>
      </c>
      <c r="F28" s="7">
        <v>3004</v>
      </c>
      <c r="G28" s="7">
        <v>2929</v>
      </c>
      <c r="H28" s="7">
        <v>3724</v>
      </c>
      <c r="I28" s="7">
        <v>1421</v>
      </c>
      <c r="J28" s="7">
        <v>782</v>
      </c>
      <c r="K28" s="7">
        <v>3231</v>
      </c>
      <c r="L28" s="7">
        <v>4052</v>
      </c>
      <c r="M28" s="7">
        <v>2045</v>
      </c>
      <c r="O28" s="7">
        <v>1511</v>
      </c>
      <c r="P28" s="7">
        <v>1392</v>
      </c>
      <c r="Q28" s="7">
        <v>1661</v>
      </c>
      <c r="R28" s="7">
        <v>2027</v>
      </c>
      <c r="S28" s="18">
        <v>2579</v>
      </c>
      <c r="T28" s="7">
        <v>2094</v>
      </c>
      <c r="U28" s="7">
        <v>4283</v>
      </c>
      <c r="V28" s="8"/>
      <c r="W28" s="7">
        <f t="shared" si="1"/>
        <v>54526</v>
      </c>
      <c r="X28" s="11">
        <f t="shared" si="2"/>
        <v>7.7312153004168938E-2</v>
      </c>
    </row>
    <row r="29" spans="1:24" x14ac:dyDescent="0.25">
      <c r="A29" s="5">
        <v>41000</v>
      </c>
      <c r="B29" s="6">
        <f t="shared" si="0"/>
        <v>51880</v>
      </c>
      <c r="C29" s="7">
        <v>5921</v>
      </c>
      <c r="D29" s="7">
        <v>5981</v>
      </c>
      <c r="E29" s="7">
        <v>7700</v>
      </c>
      <c r="F29" s="7">
        <v>2702</v>
      </c>
      <c r="G29" s="7">
        <v>2767</v>
      </c>
      <c r="H29" s="7">
        <v>3445</v>
      </c>
      <c r="I29" s="7">
        <v>1332</v>
      </c>
      <c r="J29" s="7">
        <v>753</v>
      </c>
      <c r="K29" s="7">
        <v>3399</v>
      </c>
      <c r="L29" s="7">
        <v>3905</v>
      </c>
      <c r="M29" s="7">
        <v>1885</v>
      </c>
      <c r="O29" s="7">
        <v>1408</v>
      </c>
      <c r="P29" s="7">
        <v>1244</v>
      </c>
      <c r="Q29" s="7">
        <v>1810</v>
      </c>
      <c r="R29" s="7">
        <v>2065</v>
      </c>
      <c r="S29" s="18">
        <v>2985</v>
      </c>
      <c r="T29" s="7">
        <v>2198</v>
      </c>
      <c r="U29" s="7">
        <v>4118</v>
      </c>
      <c r="V29" s="8"/>
      <c r="W29" s="7">
        <f t="shared" si="1"/>
        <v>51880</v>
      </c>
      <c r="X29" s="11">
        <f t="shared" si="2"/>
        <v>9.2601562664532677E-2</v>
      </c>
    </row>
    <row r="30" spans="1:24" x14ac:dyDescent="0.25">
      <c r="A30" s="5">
        <v>41030</v>
      </c>
      <c r="B30" s="6">
        <f t="shared" si="0"/>
        <v>54518</v>
      </c>
      <c r="C30" s="7">
        <v>5371</v>
      </c>
      <c r="D30" s="7">
        <v>6466</v>
      </c>
      <c r="E30" s="7">
        <v>8524</v>
      </c>
      <c r="F30" s="7">
        <v>2970</v>
      </c>
      <c r="G30" s="7">
        <v>3016</v>
      </c>
      <c r="H30" s="7">
        <v>3896</v>
      </c>
      <c r="I30" s="7">
        <v>1412</v>
      </c>
      <c r="J30" s="7">
        <v>781</v>
      </c>
      <c r="K30" s="7">
        <v>3728</v>
      </c>
      <c r="L30" s="7">
        <v>3823</v>
      </c>
      <c r="M30" s="7">
        <v>1708</v>
      </c>
      <c r="O30" s="7">
        <v>1456</v>
      </c>
      <c r="P30" s="7">
        <v>1134</v>
      </c>
      <c r="Q30" s="7">
        <v>1908</v>
      </c>
      <c r="R30" s="7">
        <v>2273</v>
      </c>
      <c r="S30" s="18">
        <v>3105</v>
      </c>
      <c r="T30" s="7">
        <v>2296</v>
      </c>
      <c r="U30" s="7">
        <v>4537</v>
      </c>
      <c r="V30" s="8"/>
      <c r="W30" s="7">
        <f t="shared" si="1"/>
        <v>54518</v>
      </c>
      <c r="X30" s="11">
        <f t="shared" si="2"/>
        <v>0.12188496758925815</v>
      </c>
    </row>
    <row r="31" spans="1:24" x14ac:dyDescent="0.25">
      <c r="A31" s="5">
        <v>41061</v>
      </c>
      <c r="B31" s="6">
        <f>SUM(Sales_Pending[[#This Row],[AZ | Phoenix]:[WA | Seattle]])</f>
        <v>52965</v>
      </c>
      <c r="C31" s="7">
        <v>5039</v>
      </c>
      <c r="D31" s="7">
        <v>5241</v>
      </c>
      <c r="E31" s="7">
        <v>7694</v>
      </c>
      <c r="F31" s="7">
        <v>2746</v>
      </c>
      <c r="G31" s="7">
        <v>2600</v>
      </c>
      <c r="H31" s="7">
        <v>3278</v>
      </c>
      <c r="I31" s="7">
        <v>1204</v>
      </c>
      <c r="J31" s="7">
        <v>673</v>
      </c>
      <c r="K31" s="7">
        <v>2945</v>
      </c>
      <c r="L31" s="7">
        <v>3860</v>
      </c>
      <c r="M31" s="7">
        <v>1957</v>
      </c>
      <c r="O31" s="7">
        <v>1506</v>
      </c>
      <c r="P31" s="7">
        <v>932</v>
      </c>
      <c r="Q31" s="7">
        <v>1860</v>
      </c>
      <c r="R31" s="7">
        <v>2266</v>
      </c>
      <c r="S31" s="18">
        <v>2913</v>
      </c>
      <c r="T31" s="7">
        <v>2256</v>
      </c>
      <c r="U31" s="7">
        <v>3995</v>
      </c>
      <c r="V31" s="8"/>
      <c r="W31" s="7">
        <f t="shared" si="1"/>
        <v>49379</v>
      </c>
      <c r="X31" s="11">
        <f>W31/W19-1</f>
        <v>5.3935797831469401E-2</v>
      </c>
    </row>
    <row r="32" spans="1:24" x14ac:dyDescent="0.25">
      <c r="A32" s="5">
        <v>41091</v>
      </c>
      <c r="B32" s="6">
        <f>SUM(Sales_Pending[[#This Row],[AZ | Phoenix]:[WA | Seattle]])</f>
        <v>51383</v>
      </c>
      <c r="C32" s="7">
        <v>4307</v>
      </c>
      <c r="D32" s="7">
        <v>4835</v>
      </c>
      <c r="E32" s="7">
        <v>7062</v>
      </c>
      <c r="F32" s="7">
        <v>5389</v>
      </c>
      <c r="G32" s="7">
        <v>2423</v>
      </c>
      <c r="H32" s="7">
        <v>3008</v>
      </c>
      <c r="I32" s="7">
        <v>1075</v>
      </c>
      <c r="J32" s="7">
        <v>628</v>
      </c>
      <c r="K32" s="7">
        <v>2840</v>
      </c>
      <c r="L32" s="7">
        <v>3285</v>
      </c>
      <c r="M32" s="7">
        <v>1848</v>
      </c>
      <c r="O32" s="7">
        <v>1406</v>
      </c>
      <c r="P32" s="7">
        <v>981</v>
      </c>
      <c r="Q32" s="7">
        <v>1759</v>
      </c>
      <c r="R32" s="7">
        <v>2106</v>
      </c>
      <c r="S32" s="18">
        <v>2660</v>
      </c>
      <c r="T32" s="7">
        <v>2037</v>
      </c>
      <c r="U32" s="7">
        <v>3734</v>
      </c>
      <c r="W32" s="7">
        <f t="shared" ref="W32:W34" si="3">SUM(C32:I32,K32:M32,O32:R32,T32:U32)</f>
        <v>48095</v>
      </c>
      <c r="X32" s="11">
        <f t="shared" ref="X32:X34" si="4">W32/W20-1</f>
        <v>0.10721027671623928</v>
      </c>
    </row>
    <row r="33" spans="1:24" x14ac:dyDescent="0.25">
      <c r="A33" s="5">
        <v>41122</v>
      </c>
      <c r="B33" s="6">
        <f>SUM(Sales_Pending[[#This Row],[AZ | Phoenix]:[WA | Seattle]])</f>
        <v>51821</v>
      </c>
      <c r="C33" s="7">
        <v>5084</v>
      </c>
      <c r="D33" s="7">
        <v>4986</v>
      </c>
      <c r="E33" s="7">
        <v>7580</v>
      </c>
      <c r="F33" s="7">
        <v>2977</v>
      </c>
      <c r="G33" s="7">
        <v>2535</v>
      </c>
      <c r="H33" s="7">
        <v>3075</v>
      </c>
      <c r="I33" s="7">
        <v>1158</v>
      </c>
      <c r="J33" s="7">
        <v>690</v>
      </c>
      <c r="K33" s="7">
        <v>3097</v>
      </c>
      <c r="L33" s="7">
        <v>3298</v>
      </c>
      <c r="M33" s="7">
        <v>2011</v>
      </c>
      <c r="O33" s="7">
        <v>1353</v>
      </c>
      <c r="P33" s="7">
        <v>1065</v>
      </c>
      <c r="Q33" s="7">
        <v>1848</v>
      </c>
      <c r="R33" s="7">
        <v>2213</v>
      </c>
      <c r="S33" s="7">
        <v>3055</v>
      </c>
      <c r="T33" s="7">
        <v>2019</v>
      </c>
      <c r="U33" s="7">
        <v>3777</v>
      </c>
      <c r="W33" s="7">
        <f t="shared" si="3"/>
        <v>48076</v>
      </c>
      <c r="X33" s="11">
        <f t="shared" si="4"/>
        <v>6.6577925679423222E-2</v>
      </c>
    </row>
    <row r="34" spans="1:24" s="11" customFormat="1" x14ac:dyDescent="0.25">
      <c r="A34" s="5">
        <v>41153</v>
      </c>
      <c r="B34" s="6">
        <f>SUM(Sales_Pending[[#This Row],[AZ | Phoenix]:[WA | Seattle]])</f>
        <v>49914</v>
      </c>
      <c r="C34" s="7">
        <v>5098</v>
      </c>
      <c r="D34" s="7">
        <v>4572</v>
      </c>
      <c r="E34" s="7">
        <v>6653</v>
      </c>
      <c r="F34" s="7">
        <v>2588</v>
      </c>
      <c r="G34" s="7">
        <v>2262</v>
      </c>
      <c r="H34" s="7">
        <v>2901</v>
      </c>
      <c r="I34" s="7">
        <v>1012</v>
      </c>
      <c r="J34" s="7">
        <v>606</v>
      </c>
      <c r="K34" s="7">
        <v>2579</v>
      </c>
      <c r="L34" s="7">
        <v>2949</v>
      </c>
      <c r="M34" s="7">
        <v>3269</v>
      </c>
      <c r="N34" s="7"/>
      <c r="O34" s="7">
        <v>1177</v>
      </c>
      <c r="P34" s="7">
        <v>2938</v>
      </c>
      <c r="Q34" s="7">
        <v>1467</v>
      </c>
      <c r="R34" s="7">
        <v>2017</v>
      </c>
      <c r="S34" s="7">
        <v>2555</v>
      </c>
      <c r="T34" s="7">
        <v>1703</v>
      </c>
      <c r="U34" s="7">
        <v>3568</v>
      </c>
      <c r="W34" s="7">
        <f t="shared" si="3"/>
        <v>46753</v>
      </c>
      <c r="X34" s="11">
        <f t="shared" si="4"/>
        <v>0.16996571657365922</v>
      </c>
    </row>
    <row r="35" spans="1:24" x14ac:dyDescent="0.25">
      <c r="A35" s="5">
        <v>41183</v>
      </c>
      <c r="B35" s="6">
        <f>SUM(Sales_Pending[[#This Row],[AZ | Phoenix]:[WA | Seattle]])</f>
        <v>54329</v>
      </c>
      <c r="C35" s="7">
        <v>5375</v>
      </c>
      <c r="D35" s="7">
        <v>5331</v>
      </c>
      <c r="E35" s="7">
        <v>7653</v>
      </c>
      <c r="F35" s="7">
        <v>2853</v>
      </c>
      <c r="G35" s="7">
        <v>2594</v>
      </c>
      <c r="H35" s="7">
        <v>3086</v>
      </c>
      <c r="I35" s="7">
        <v>1162</v>
      </c>
      <c r="J35" s="7">
        <v>660</v>
      </c>
      <c r="K35" s="7">
        <v>2926</v>
      </c>
      <c r="L35" s="7">
        <v>3274</v>
      </c>
      <c r="M35" s="7">
        <v>2320</v>
      </c>
      <c r="O35" s="7">
        <v>1287</v>
      </c>
      <c r="P35" s="7">
        <v>3446</v>
      </c>
      <c r="Q35" s="7">
        <v>1533</v>
      </c>
      <c r="R35" s="7">
        <v>2161</v>
      </c>
      <c r="S35" s="7">
        <v>2706</v>
      </c>
      <c r="T35" s="7">
        <v>1887</v>
      </c>
      <c r="U35" s="7">
        <v>4075</v>
      </c>
      <c r="W35" s="7">
        <f t="shared" ref="W35" si="5">SUM(C35:I35,K35:M35,O35:R35,T35:U35)</f>
        <v>50963</v>
      </c>
      <c r="X35" s="11">
        <f t="shared" ref="X35" si="6">W35/W23-1</f>
        <v>0.26568980504159945</v>
      </c>
    </row>
    <row r="36" spans="1:24" x14ac:dyDescent="0.25">
      <c r="A36" s="5">
        <v>41214</v>
      </c>
      <c r="B36" s="6">
        <f>SUM(Sales_Pending[[#This Row],[AZ | Phoenix]:[WA | Seattle]])</f>
        <v>43595</v>
      </c>
      <c r="C36" s="7">
        <v>4795</v>
      </c>
      <c r="D36" s="7">
        <v>3928</v>
      </c>
      <c r="E36" s="7">
        <v>5794</v>
      </c>
      <c r="F36" s="7">
        <v>2182</v>
      </c>
      <c r="G36" s="7">
        <v>1933</v>
      </c>
      <c r="H36" s="7">
        <v>2245</v>
      </c>
      <c r="I36" s="7">
        <v>878</v>
      </c>
      <c r="J36" s="7">
        <v>435</v>
      </c>
      <c r="K36" s="7">
        <v>2198</v>
      </c>
      <c r="L36" s="7">
        <v>2583</v>
      </c>
      <c r="M36" s="7">
        <v>3091</v>
      </c>
      <c r="O36" s="7">
        <v>1065</v>
      </c>
      <c r="P36" s="7">
        <v>2911</v>
      </c>
      <c r="Q36" s="7">
        <v>1153</v>
      </c>
      <c r="R36" s="7">
        <v>1581</v>
      </c>
      <c r="S36" s="7">
        <v>2216</v>
      </c>
      <c r="T36" s="7">
        <v>1570</v>
      </c>
      <c r="U36" s="7">
        <v>3037</v>
      </c>
      <c r="W36" s="7">
        <f t="shared" ref="W36:W37" si="7">SUM(C36:I36,K36:M36,O36:R36,T36:U36)</f>
        <v>40944</v>
      </c>
      <c r="X36" s="11">
        <f t="shared" ref="X36:X37" si="8">W36/W24-1</f>
        <v>0.1062657047904676</v>
      </c>
    </row>
    <row r="37" spans="1:24" x14ac:dyDescent="0.25">
      <c r="A37" s="5">
        <v>41244</v>
      </c>
      <c r="B37" s="6">
        <f>SUM(Sales_Pending[[#This Row],[AZ | Phoenix]:[WA | Seattle]])</f>
        <v>38278</v>
      </c>
      <c r="C37" s="7">
        <v>4587</v>
      </c>
      <c r="D37" s="7">
        <v>3663</v>
      </c>
      <c r="E37" s="7">
        <v>4955</v>
      </c>
      <c r="F37" s="7">
        <v>1171</v>
      </c>
      <c r="G37" s="7">
        <v>1641</v>
      </c>
      <c r="H37" s="7">
        <v>1751</v>
      </c>
      <c r="I37" s="7">
        <v>619</v>
      </c>
      <c r="J37" s="7">
        <v>364</v>
      </c>
      <c r="K37" s="7">
        <v>1813</v>
      </c>
      <c r="L37" s="7">
        <v>2271</v>
      </c>
      <c r="M37" s="7">
        <v>2939</v>
      </c>
      <c r="O37" s="7">
        <v>853</v>
      </c>
      <c r="P37" s="7">
        <v>3147</v>
      </c>
      <c r="Q37" s="7">
        <v>1181</v>
      </c>
      <c r="R37" s="7">
        <v>1373</v>
      </c>
      <c r="S37" s="7">
        <v>2095</v>
      </c>
      <c r="T37" s="7">
        <v>1388</v>
      </c>
      <c r="U37" s="7">
        <v>2467</v>
      </c>
      <c r="W37" s="7">
        <f t="shared" si="7"/>
        <v>35819</v>
      </c>
      <c r="X37" s="11">
        <f t="shared" si="8"/>
        <v>7.3164154957006344E-2</v>
      </c>
    </row>
    <row r="38" spans="1:24" x14ac:dyDescent="0.25">
      <c r="A38" s="5">
        <v>41275</v>
      </c>
      <c r="B38" s="6">
        <f>SUM(Sales_Pending[[#This Row],[AZ | Phoenix]:[WA | Seattle]])</f>
        <v>47633</v>
      </c>
      <c r="C38" s="7">
        <v>6263</v>
      </c>
      <c r="D38" s="7">
        <v>4424</v>
      </c>
      <c r="E38" s="7">
        <v>5888</v>
      </c>
      <c r="F38" s="7">
        <v>2333</v>
      </c>
      <c r="G38" s="7">
        <v>2030</v>
      </c>
      <c r="H38" s="7">
        <v>2012</v>
      </c>
      <c r="I38" s="7">
        <v>672</v>
      </c>
      <c r="J38" s="7">
        <v>501</v>
      </c>
      <c r="K38" s="7">
        <v>2684</v>
      </c>
      <c r="L38" s="7">
        <v>2928</v>
      </c>
      <c r="M38" s="7">
        <v>3367</v>
      </c>
      <c r="O38" s="7">
        <v>1113</v>
      </c>
      <c r="P38" s="7">
        <v>2765</v>
      </c>
      <c r="Q38" s="7">
        <v>1420</v>
      </c>
      <c r="R38" s="7">
        <v>1867</v>
      </c>
      <c r="S38" s="7">
        <v>2249</v>
      </c>
      <c r="T38" s="7">
        <v>1871</v>
      </c>
      <c r="U38" s="7">
        <v>3246</v>
      </c>
      <c r="W38" s="7">
        <f t="shared" ref="W38:W41" si="9">SUM(C38:I38,K38:M38,O38:R38,T38:U38)</f>
        <v>44883</v>
      </c>
      <c r="X38" s="11">
        <f t="shared" ref="X38:X41" si="10">W38/W26-1</f>
        <v>0.12314198488564143</v>
      </c>
    </row>
    <row r="39" spans="1:24" x14ac:dyDescent="0.25">
      <c r="A39" s="5">
        <v>41306</v>
      </c>
      <c r="B39" s="6">
        <f>SUM(Sales_Pending[[#This Row],[AZ | Phoenix]:[WA | Seattle]])</f>
        <v>48661</v>
      </c>
      <c r="C39" s="7">
        <v>6087</v>
      </c>
      <c r="D39" s="7">
        <v>4003</v>
      </c>
      <c r="E39" s="7">
        <v>5894</v>
      </c>
      <c r="F39" s="7">
        <v>2197</v>
      </c>
      <c r="G39" s="7">
        <v>2030</v>
      </c>
      <c r="H39" s="7">
        <v>2129</v>
      </c>
      <c r="I39" s="7">
        <v>798</v>
      </c>
      <c r="J39" s="7">
        <v>476</v>
      </c>
      <c r="K39" s="7">
        <v>2828</v>
      </c>
      <c r="L39" s="7">
        <v>2959</v>
      </c>
      <c r="M39" s="7">
        <v>3709</v>
      </c>
      <c r="O39" s="7">
        <v>1143</v>
      </c>
      <c r="P39" s="7">
        <v>2897</v>
      </c>
      <c r="Q39" s="7">
        <v>1484</v>
      </c>
      <c r="R39" s="7">
        <v>1968</v>
      </c>
      <c r="S39" s="7">
        <v>2469</v>
      </c>
      <c r="T39" s="7">
        <v>1995</v>
      </c>
      <c r="U39" s="7">
        <v>3595</v>
      </c>
      <c r="W39" s="7">
        <f t="shared" si="9"/>
        <v>45716</v>
      </c>
      <c r="X39" s="11">
        <f t="shared" si="10"/>
        <v>-1.8780451160095302E-2</v>
      </c>
    </row>
    <row r="40" spans="1:24" x14ac:dyDescent="0.25">
      <c r="A40" s="5">
        <v>41334</v>
      </c>
      <c r="B40" s="6">
        <f>SUM(Sales_Pending[[#This Row],[AZ | Phoenix]:[WA | Seattle]])</f>
        <v>60471</v>
      </c>
      <c r="C40" s="7">
        <v>7108</v>
      </c>
      <c r="D40" s="7">
        <v>4739</v>
      </c>
      <c r="E40" s="7">
        <v>7077</v>
      </c>
      <c r="F40" s="7">
        <v>2692</v>
      </c>
      <c r="G40" s="7">
        <v>2540</v>
      </c>
      <c r="H40" s="7">
        <v>2881</v>
      </c>
      <c r="I40" s="7">
        <v>1131</v>
      </c>
      <c r="J40" s="7">
        <v>607</v>
      </c>
      <c r="K40" s="7">
        <v>3478</v>
      </c>
      <c r="L40" s="7">
        <v>4031</v>
      </c>
      <c r="M40" s="7">
        <v>4525</v>
      </c>
      <c r="O40" s="7">
        <v>1570</v>
      </c>
      <c r="P40" s="7">
        <v>3188</v>
      </c>
      <c r="Q40" s="7">
        <v>2305</v>
      </c>
      <c r="R40" s="7">
        <v>2461</v>
      </c>
      <c r="S40" s="7">
        <v>3079</v>
      </c>
      <c r="T40" s="7">
        <v>2533</v>
      </c>
      <c r="U40" s="7">
        <v>4526</v>
      </c>
      <c r="W40" s="7">
        <f t="shared" si="9"/>
        <v>56785</v>
      </c>
      <c r="X40" s="11">
        <f t="shared" si="10"/>
        <v>4.1429776620327985E-2</v>
      </c>
    </row>
    <row r="41" spans="1:24" x14ac:dyDescent="0.25">
      <c r="A41" s="5">
        <v>41365</v>
      </c>
      <c r="B41" s="6">
        <f>SUM(Sales_Pending[[#This Row],[AZ | Phoenix]:[WA | Seattle]])</f>
        <v>63982</v>
      </c>
      <c r="C41" s="7">
        <v>7447</v>
      </c>
      <c r="D41" s="7">
        <v>4721</v>
      </c>
      <c r="E41" s="7">
        <v>6899</v>
      </c>
      <c r="F41" s="7">
        <v>2777</v>
      </c>
      <c r="G41" s="7">
        <v>2417</v>
      </c>
      <c r="H41" s="7">
        <v>2990</v>
      </c>
      <c r="I41" s="7">
        <v>1108</v>
      </c>
      <c r="J41" s="7">
        <v>590</v>
      </c>
      <c r="K41" s="7">
        <v>3839</v>
      </c>
      <c r="L41" s="7">
        <v>4661</v>
      </c>
      <c r="M41" s="7">
        <v>5241</v>
      </c>
      <c r="O41" s="7">
        <v>1794</v>
      </c>
      <c r="P41" s="7">
        <v>3280</v>
      </c>
      <c r="Q41" s="7">
        <v>2631</v>
      </c>
      <c r="R41" s="7">
        <v>2812</v>
      </c>
      <c r="S41" s="7">
        <v>3672</v>
      </c>
      <c r="T41" s="7">
        <v>2552</v>
      </c>
      <c r="U41" s="7">
        <v>4551</v>
      </c>
      <c r="W41" s="7">
        <f t="shared" si="9"/>
        <v>59720</v>
      </c>
      <c r="X41" s="11">
        <f t="shared" si="10"/>
        <v>0.15111796453353898</v>
      </c>
    </row>
    <row r="42" spans="1:24" x14ac:dyDescent="0.25">
      <c r="A42" s="5">
        <v>41395</v>
      </c>
      <c r="B42" s="6">
        <f>SUM(Sales_Pending[[#This Row],[AZ | Phoenix]:[WA | Seattle]])</f>
        <v>62812</v>
      </c>
      <c r="C42" s="7">
        <v>6087</v>
      </c>
      <c r="D42" s="7">
        <v>4665</v>
      </c>
      <c r="E42" s="7">
        <v>7216</v>
      </c>
      <c r="F42" s="7">
        <v>2931</v>
      </c>
      <c r="G42" s="7">
        <v>2591</v>
      </c>
      <c r="H42" s="7">
        <v>3363</v>
      </c>
      <c r="I42" s="7">
        <v>1246</v>
      </c>
      <c r="J42" s="7">
        <v>590</v>
      </c>
      <c r="K42" s="7">
        <v>4241</v>
      </c>
      <c r="L42" s="7">
        <v>4502</v>
      </c>
      <c r="M42" s="7">
        <v>2883</v>
      </c>
      <c r="O42" s="7">
        <v>1882</v>
      </c>
      <c r="P42" s="7">
        <v>3353</v>
      </c>
      <c r="Q42" s="7">
        <v>2865</v>
      </c>
      <c r="R42" s="7">
        <v>2859</v>
      </c>
      <c r="S42" s="7">
        <v>3900</v>
      </c>
      <c r="T42" s="7">
        <v>2794</v>
      </c>
      <c r="U42" s="7">
        <v>4844</v>
      </c>
      <c r="W42" s="7">
        <f t="shared" ref="W42" si="11">SUM(C42:I42,K42:M42,O42:R42,T42:U42)</f>
        <v>58322</v>
      </c>
      <c r="X42" s="11">
        <f t="shared" ref="X42" si="12">W42/W30-1</f>
        <v>6.9775120143805713E-2</v>
      </c>
    </row>
    <row r="43" spans="1:24" x14ac:dyDescent="0.25">
      <c r="A43" s="10" t="s">
        <v>21</v>
      </c>
      <c r="B43" s="10">
        <f>B42/B30-1</f>
        <v>0.15213324039766674</v>
      </c>
      <c r="C43" s="16">
        <f t="shared" ref="C43:U43" si="13">C42/C30-1</f>
        <v>0.13330850865760557</v>
      </c>
      <c r="D43" s="16">
        <f t="shared" si="13"/>
        <v>-0.2785338694710795</v>
      </c>
      <c r="E43" s="16">
        <f t="shared" si="13"/>
        <v>-0.15344908493664944</v>
      </c>
      <c r="F43" s="16">
        <f t="shared" si="13"/>
        <v>-1.3131313131313105E-2</v>
      </c>
      <c r="G43" s="16">
        <f t="shared" si="13"/>
        <v>-0.14091511936339518</v>
      </c>
      <c r="H43" s="16">
        <f t="shared" si="13"/>
        <v>-0.13680698151950721</v>
      </c>
      <c r="I43" s="16">
        <f t="shared" si="13"/>
        <v>-0.11756373937677056</v>
      </c>
      <c r="J43" s="16">
        <f t="shared" si="13"/>
        <v>-0.2445582586427657</v>
      </c>
      <c r="K43" s="16">
        <f t="shared" si="13"/>
        <v>0.13760729613733913</v>
      </c>
      <c r="L43" s="16">
        <f t="shared" si="13"/>
        <v>0.17760920742872099</v>
      </c>
      <c r="M43" s="16">
        <f t="shared" si="13"/>
        <v>0.68793911007025765</v>
      </c>
      <c r="N43" s="16"/>
      <c r="O43" s="16">
        <f t="shared" si="13"/>
        <v>0.29258241758241765</v>
      </c>
      <c r="P43" s="16">
        <f t="shared" si="13"/>
        <v>1.9567901234567899</v>
      </c>
      <c r="Q43" s="16">
        <f t="shared" si="13"/>
        <v>0.5015723270440251</v>
      </c>
      <c r="R43" s="16">
        <f t="shared" si="13"/>
        <v>0.25780906291245054</v>
      </c>
      <c r="S43" s="16">
        <f t="shared" si="13"/>
        <v>0.2560386473429952</v>
      </c>
      <c r="T43" s="16">
        <f t="shared" si="13"/>
        <v>0.21689895470383269</v>
      </c>
      <c r="U43" s="16">
        <f t="shared" si="13"/>
        <v>6.7665858496803954E-2</v>
      </c>
    </row>
    <row r="44" spans="1:24" x14ac:dyDescent="0.25">
      <c r="A44" s="10" t="s">
        <v>22</v>
      </c>
      <c r="B44" s="10">
        <f>B42/B41-1</f>
        <v>-1.8286393048044802E-2</v>
      </c>
      <c r="C44" s="16">
        <f t="shared" ref="C44:U44" si="14">C42/C41-1</f>
        <v>-0.18262387538606151</v>
      </c>
      <c r="D44" s="16">
        <f t="shared" si="14"/>
        <v>-1.1861893666596068E-2</v>
      </c>
      <c r="E44" s="16">
        <f t="shared" si="14"/>
        <v>4.5948688215683431E-2</v>
      </c>
      <c r="F44" s="16">
        <f t="shared" si="14"/>
        <v>5.5455527547713324E-2</v>
      </c>
      <c r="G44" s="16">
        <f t="shared" si="14"/>
        <v>7.1990070335126166E-2</v>
      </c>
      <c r="H44" s="16">
        <f t="shared" si="14"/>
        <v>0.12474916387959856</v>
      </c>
      <c r="I44" s="16">
        <f t="shared" si="14"/>
        <v>0.12454873646209386</v>
      </c>
      <c r="J44" s="16">
        <f t="shared" si="14"/>
        <v>0</v>
      </c>
      <c r="K44" s="16">
        <f t="shared" si="14"/>
        <v>0.1047147694712165</v>
      </c>
      <c r="L44" s="16">
        <f t="shared" si="14"/>
        <v>-3.4112851319459292E-2</v>
      </c>
      <c r="M44" s="16">
        <f t="shared" si="14"/>
        <v>-0.44991413852318263</v>
      </c>
      <c r="N44" s="16"/>
      <c r="O44" s="16">
        <f t="shared" si="14"/>
        <v>4.9052396878483728E-2</v>
      </c>
      <c r="P44" s="16">
        <f t="shared" si="14"/>
        <v>2.2256097560975574E-2</v>
      </c>
      <c r="Q44" s="16">
        <f t="shared" si="14"/>
        <v>8.8939566704675066E-2</v>
      </c>
      <c r="R44" s="16">
        <f t="shared" si="14"/>
        <v>1.6714082503556105E-2</v>
      </c>
      <c r="S44" s="16">
        <f t="shared" si="14"/>
        <v>6.2091503267973858E-2</v>
      </c>
      <c r="T44" s="16">
        <f t="shared" si="14"/>
        <v>9.4827586206896575E-2</v>
      </c>
      <c r="U44" s="16">
        <f t="shared" si="14"/>
        <v>6.438145462535716E-2</v>
      </c>
    </row>
  </sheetData>
  <conditionalFormatting sqref="B43:U44">
    <cfRule type="expression" dxfId="14" priority="1">
      <formula>B43&lt;=-0.0005</formula>
    </cfRule>
    <cfRule type="expression" dxfId="13" priority="2">
      <formula>B43&gt;=0.0005</formula>
    </cfRule>
    <cfRule type="expression" dxfId="12" priority="3">
      <formula>B43&lt;0.0005</formula>
    </cfRule>
  </conditionalFormatting>
  <pageMargins left="0.7" right="0.7" top="0.75" bottom="0.75" header="0.3" footer="0.3"/>
  <ignoredErrors>
    <ignoredError sqref="B14:B30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pane xSplit="1" ySplit="1" topLeftCell="B14" activePane="bottomRight" state="frozenSplit"/>
      <selection pane="topRight" activeCell="B1" sqref="B1"/>
      <selection pane="bottomLeft" activeCell="A2" sqref="A2"/>
      <selection pane="bottomRight" activeCell="B42" sqref="B42"/>
    </sheetView>
  </sheetViews>
  <sheetFormatPr defaultRowHeight="15" x14ac:dyDescent="0.25"/>
  <cols>
    <col min="1" max="1" width="7.5703125" style="9" bestFit="1" customWidth="1"/>
    <col min="2" max="2" width="9.140625" style="22" bestFit="1" customWidth="1"/>
    <col min="3" max="3" width="12.42578125" style="23" bestFit="1" customWidth="1"/>
    <col min="4" max="4" width="17.85546875" style="23" bestFit="1" customWidth="1"/>
    <col min="5" max="6" width="15.85546875" style="23" bestFit="1" customWidth="1"/>
    <col min="7" max="7" width="14.140625" style="23" bestFit="1" customWidth="1"/>
    <col min="8" max="8" width="17.28515625" style="23" bestFit="1" customWidth="1"/>
    <col min="9" max="9" width="12.7109375" style="23" bestFit="1" customWidth="1"/>
    <col min="10" max="10" width="12.42578125" style="23" bestFit="1" customWidth="1"/>
    <col min="11" max="11" width="11.85546875" style="23" bestFit="1" customWidth="1"/>
    <col min="12" max="12" width="16.140625" style="23" bestFit="1" customWidth="1"/>
    <col min="13" max="13" width="11.140625" style="23" bestFit="1" customWidth="1"/>
    <col min="14" max="14" width="12.140625" style="23" bestFit="1" customWidth="1"/>
    <col min="15" max="15" width="14.85546875" style="23" bestFit="1" customWidth="1"/>
    <col min="16" max="16" width="14.140625" style="23" bestFit="1" customWidth="1"/>
    <col min="17" max="17" width="15.42578125" style="23" bestFit="1" customWidth="1"/>
    <col min="18" max="18" width="13.140625" style="23" bestFit="1" customWidth="1"/>
    <col min="19" max="19" width="16.5703125" style="23" bestFit="1" customWidth="1"/>
    <col min="20" max="20" width="10.7109375" style="23" bestFit="1" customWidth="1"/>
    <col min="21" max="21" width="12.42578125" style="23" bestFit="1" customWidth="1"/>
    <col min="22" max="22" width="10.28515625" style="7" bestFit="1" customWidth="1"/>
    <col min="23" max="23" width="12.42578125" style="7" bestFit="1" customWidth="1"/>
    <col min="24" max="24" width="7" style="8" bestFit="1" customWidth="1"/>
    <col min="25" max="16384" width="9.140625" style="8"/>
  </cols>
  <sheetData>
    <row r="1" spans="1:23" s="4" customFormat="1" x14ac:dyDescent="0.25">
      <c r="A1" s="1" t="s">
        <v>0</v>
      </c>
      <c r="B1" s="20" t="s">
        <v>1</v>
      </c>
      <c r="C1" s="21" t="s">
        <v>8</v>
      </c>
      <c r="D1" s="21" t="s">
        <v>7</v>
      </c>
      <c r="E1" s="21" t="s">
        <v>2</v>
      </c>
      <c r="F1" s="21" t="s">
        <v>15</v>
      </c>
      <c r="G1" s="21" t="s">
        <v>11</v>
      </c>
      <c r="H1" s="21" t="s">
        <v>6</v>
      </c>
      <c r="I1" s="21" t="s">
        <v>18</v>
      </c>
      <c r="J1" s="21" t="s">
        <v>20</v>
      </c>
      <c r="K1" s="21" t="s">
        <v>14</v>
      </c>
      <c r="L1" s="21" t="s">
        <v>4</v>
      </c>
      <c r="M1" s="21" t="s">
        <v>3</v>
      </c>
      <c r="N1" s="21" t="s">
        <v>9</v>
      </c>
      <c r="O1" s="21" t="s">
        <v>13</v>
      </c>
      <c r="P1" s="21" t="s">
        <v>17</v>
      </c>
      <c r="Q1" s="21" t="s">
        <v>12</v>
      </c>
      <c r="R1" s="21" t="s">
        <v>16</v>
      </c>
      <c r="S1" s="21" t="s">
        <v>5</v>
      </c>
      <c r="T1" s="21" t="s">
        <v>19</v>
      </c>
      <c r="U1" s="21" t="s">
        <v>10</v>
      </c>
    </row>
    <row r="2" spans="1:23" x14ac:dyDescent="0.25">
      <c r="A2" s="5">
        <v>40179</v>
      </c>
      <c r="B2" s="22">
        <f>Listings_Total[[#This Row],[National]]/Sales_Closed[[#This Row],[National]]</f>
        <v>6.3123713486134561</v>
      </c>
      <c r="C2" s="23">
        <f>Listings_Total[[#This Row],[AZ | Phoenix]]/Sales_Closed[[#This Row],[AZ | Phoenix]]</f>
        <v>5.5397225725094579</v>
      </c>
      <c r="D2" s="23">
        <f>Listings_Total[[#This Row],[CA | Inland Empire]]/Sales_Closed[[#This Row],[CA | Inland Empire]]</f>
        <v>4.2933601609657952</v>
      </c>
      <c r="E2" s="23">
        <f>Listings_Total[[#This Row],[CA | Los Angeles]]/Sales_Closed[[#This Row],[CA | Los Angeles]]</f>
        <v>4.5458413926499031</v>
      </c>
      <c r="F2" s="23">
        <f>Listings_Total[[#This Row],[CA | Sacramento]]/Sales_Closed[[#This Row],[CA | Sacramento]]</f>
        <v>4.9557177615571772</v>
      </c>
      <c r="G2" s="23">
        <f>Listings_Total[[#This Row],[CA | San Diego]]/Sales_Closed[[#This Row],[CA | San Diego]]</f>
        <v>5.6570247933884295</v>
      </c>
      <c r="H2" s="23">
        <f>Listings_Total[[#This Row],[CA | San Francisco]]/Sales_Closed[[#This Row],[CA | San Francisco]]</f>
        <v>2.9089759797724399</v>
      </c>
      <c r="I2" s="23">
        <f>Listings_Total[[#This Row],[CA | San Jose]]/Sales_Closed[[#This Row],[CA | San Jose]]</f>
        <v>3.2809815950920247</v>
      </c>
      <c r="J2" s="23">
        <f>Listings_Total[[#This Row],[CA | Ventura]]/Sales_Closed[[#This Row],[CA | Ventura]]</f>
        <v>5.8136020151133501</v>
      </c>
      <c r="K2" s="23">
        <f>Listings_Total[[#This Row],[CO | Denver]]/Sales_Closed[[#This Row],[CO | Denver]]</f>
        <v>7.7072748267898383</v>
      </c>
      <c r="L2" s="23">
        <f>Listings_Total[[#This Row],[DC | Washington]]/Sales_Closed[[#This Row],[DC | Washington]]</f>
        <v>5.2246320681642135</v>
      </c>
      <c r="M2" s="23">
        <f>Listings_Total[[#This Row],[IL | Chicago]]/Sales_Closed[[#This Row],[IL | Chicago]]</f>
        <v>10.869808833223468</v>
      </c>
      <c r="N2" s="23">
        <f>Listings_Total[[#This Row],[MA | Boston]]/Sales_Closed[[#This Row],[MA | Boston]]</f>
        <v>9.1277658815132057</v>
      </c>
      <c r="O2" s="23">
        <f>Listings_Total[[#This Row],[MD | Baltimore]]/Sales_Closed[[#This Row],[MD | Baltimore]]</f>
        <v>7.5304761904761905</v>
      </c>
      <c r="P2" s="23">
        <f>Listings_Total[[#This Row],[NV | Las Vegas]]/Sales_Closed[[#This Row],[NV | Las Vegas]]</f>
        <v>6.5837874659400546</v>
      </c>
      <c r="Q2" s="23">
        <f>Listings_Total[[#This Row],[NY | Long Island]]/Sales_Closed[[#This Row],[NY | Long Island]]</f>
        <v>11.971349862258954</v>
      </c>
      <c r="R2" s="23">
        <f>Listings_Total[[#This Row],[OR | Portland]]/Sales_Closed[[#This Row],[OR | Portland]]</f>
        <v>7.9351055512118842</v>
      </c>
      <c r="S2" s="23">
        <f>Listings_Total[[#This Row],[PA | Philadelphia]]/Sales_Closed[[#This Row],[PA | Philadelphia]]</f>
        <v>5.3191056910569108</v>
      </c>
      <c r="T2" s="23">
        <f>Listings_Total[[#This Row],[TX | Austin]]/Sales_Closed[[#This Row],[TX | Austin]]</f>
        <v>12.377475247524753</v>
      </c>
      <c r="U2" s="23">
        <f>Listings_Total[[#This Row],[WA | Seattle]]/Sales_Closed[[#This Row],[WA | Seattle]]</f>
        <v>8.039480800432667</v>
      </c>
      <c r="V2" s="8"/>
      <c r="W2" s="8"/>
    </row>
    <row r="3" spans="1:23" x14ac:dyDescent="0.25">
      <c r="A3" s="5">
        <v>40210</v>
      </c>
      <c r="B3" s="22">
        <f>Listings_Total[[#This Row],[National]]/Sales_Closed[[#This Row],[National]]</f>
        <v>6.5392543056064492</v>
      </c>
      <c r="C3" s="23">
        <f>Listings_Total[[#This Row],[AZ | Phoenix]]/Sales_Closed[[#This Row],[AZ | Phoenix]]</f>
        <v>4.9560019129603061</v>
      </c>
      <c r="D3" s="23">
        <f>Listings_Total[[#This Row],[CA | Inland Empire]]/Sales_Closed[[#This Row],[CA | Inland Empire]]</f>
        <v>4.4800000000000004</v>
      </c>
      <c r="E3" s="23">
        <f>Listings_Total[[#This Row],[CA | Los Angeles]]/Sales_Closed[[#This Row],[CA | Los Angeles]]</f>
        <v>4.7859338970023062</v>
      </c>
      <c r="F3" s="23">
        <f>Listings_Total[[#This Row],[CA | Sacramento]]/Sales_Closed[[#This Row],[CA | Sacramento]]</f>
        <v>5.1706601466992668</v>
      </c>
      <c r="G3" s="23">
        <f>Listings_Total[[#This Row],[CA | San Diego]]/Sales_Closed[[#This Row],[CA | San Diego]]</f>
        <v>5.4606175173282923</v>
      </c>
      <c r="H3" s="23">
        <f>Listings_Total[[#This Row],[CA | San Francisco]]/Sales_Closed[[#This Row],[CA | San Francisco]]</f>
        <v>3.3823268206039074</v>
      </c>
      <c r="I3" s="23">
        <f>Listings_Total[[#This Row],[CA | San Jose]]/Sales_Closed[[#This Row],[CA | San Jose]]</f>
        <v>3.451990632318501</v>
      </c>
      <c r="J3" s="23">
        <f>Listings_Total[[#This Row],[CA | Ventura]]/Sales_Closed[[#This Row],[CA | Ventura]]</f>
        <v>5.8711217183770881</v>
      </c>
      <c r="K3" s="23">
        <f>Listings_Total[[#This Row],[CO | Denver]]/Sales_Closed[[#This Row],[CO | Denver]]</f>
        <v>7.4386673397274103</v>
      </c>
      <c r="L3" s="23">
        <f>Listings_Total[[#This Row],[DC | Washington]]/Sales_Closed[[#This Row],[DC | Washington]]</f>
        <v>5.7468139337298219</v>
      </c>
      <c r="M3" s="23">
        <f>Listings_Total[[#This Row],[IL | Chicago]]/Sales_Closed[[#This Row],[IL | Chicago]]</f>
        <v>11.390422347855004</v>
      </c>
      <c r="N3" s="23">
        <f>Listings_Total[[#This Row],[MA | Boston]]/Sales_Closed[[#This Row],[MA | Boston]]</f>
        <v>10.337807606263983</v>
      </c>
      <c r="O3" s="23">
        <f>Listings_Total[[#This Row],[MD | Baltimore]]/Sales_Closed[[#This Row],[MD | Baltimore]]</f>
        <v>8.8100558659217878</v>
      </c>
      <c r="P3" s="23">
        <f>Listings_Total[[#This Row],[NV | Las Vegas]]/Sales_Closed[[#This Row],[NV | Las Vegas]]</f>
        <v>7.1786358715265246</v>
      </c>
      <c r="Q3" s="23">
        <f>Listings_Total[[#This Row],[NY | Long Island]]/Sales_Closed[[#This Row],[NY | Long Island]]</f>
        <v>15.846534653465346</v>
      </c>
      <c r="R3" s="23">
        <f>Listings_Total[[#This Row],[OR | Portland]]/Sales_Closed[[#This Row],[OR | Portland]]</f>
        <v>7.9812734082397006</v>
      </c>
      <c r="S3" s="23">
        <f>Listings_Total[[#This Row],[PA | Philadelphia]]/Sales_Closed[[#This Row],[PA | Philadelphia]]</f>
        <v>6.2719780219780219</v>
      </c>
      <c r="T3" s="23">
        <f>Listings_Total[[#This Row],[TX | Austin]]/Sales_Closed[[#This Row],[TX | Austin]]</f>
        <v>10.100275988960442</v>
      </c>
      <c r="U3" s="23">
        <f>Listings_Total[[#This Row],[WA | Seattle]]/Sales_Closed[[#This Row],[WA | Seattle]]</f>
        <v>7.4261904761904765</v>
      </c>
      <c r="V3" s="8"/>
      <c r="W3" s="8"/>
    </row>
    <row r="4" spans="1:23" x14ac:dyDescent="0.25">
      <c r="A4" s="5">
        <v>40238</v>
      </c>
      <c r="B4" s="22">
        <f>Listings_Total[[#This Row],[National]]/Sales_Closed[[#This Row],[National]]</f>
        <v>5.0073643983007754</v>
      </c>
      <c r="C4" s="23">
        <f>Listings_Total[[#This Row],[AZ | Phoenix]]/Sales_Closed[[#This Row],[AZ | Phoenix]]</f>
        <v>3.6519911246058623</v>
      </c>
      <c r="D4" s="23">
        <f>Listings_Total[[#This Row],[CA | Inland Empire]]/Sales_Closed[[#This Row],[CA | Inland Empire]]</f>
        <v>3.5420028476506884</v>
      </c>
      <c r="E4" s="23">
        <f>Listings_Total[[#This Row],[CA | Los Angeles]]/Sales_Closed[[#This Row],[CA | Los Angeles]]</f>
        <v>3.8571428571428572</v>
      </c>
      <c r="F4" s="23">
        <f>Listings_Total[[#This Row],[CA | Sacramento]]/Sales_Closed[[#This Row],[CA | Sacramento]]</f>
        <v>3.889237199582027</v>
      </c>
      <c r="G4" s="23">
        <f>Listings_Total[[#This Row],[CA | San Diego]]/Sales_Closed[[#This Row],[CA | San Diego]]</f>
        <v>4.3695042095416277</v>
      </c>
      <c r="H4" s="23">
        <f>Listings_Total[[#This Row],[CA | San Francisco]]/Sales_Closed[[#This Row],[CA | San Francisco]]</f>
        <v>2.7287436548223352</v>
      </c>
      <c r="I4" s="23">
        <f>Listings_Total[[#This Row],[CA | San Jose]]/Sales_Closed[[#This Row],[CA | San Jose]]</f>
        <v>2.7684563758389262</v>
      </c>
      <c r="J4" s="23">
        <f>Listings_Total[[#This Row],[CA | Ventura]]/Sales_Closed[[#This Row],[CA | Ventura]]</f>
        <v>4.9792452830188676</v>
      </c>
      <c r="K4" s="23">
        <f>Listings_Total[[#This Row],[CO | Denver]]/Sales_Closed[[#This Row],[CO | Denver]]</f>
        <v>5.4911983750846307</v>
      </c>
      <c r="L4" s="23">
        <f>Listings_Total[[#This Row],[DC | Washington]]/Sales_Closed[[#This Row],[DC | Washington]]</f>
        <v>4.1166990830786325</v>
      </c>
      <c r="M4" s="23">
        <f>Listings_Total[[#This Row],[IL | Chicago]]/Sales_Closed[[#This Row],[IL | Chicago]]</f>
        <v>8.5870129870129865</v>
      </c>
      <c r="N4" s="23">
        <f>Listings_Total[[#This Row],[MA | Boston]]/Sales_Closed[[#This Row],[MA | Boston]]</f>
        <v>8.6323839662447259</v>
      </c>
      <c r="O4" s="23">
        <f>Listings_Total[[#This Row],[MD | Baltimore]]/Sales_Closed[[#This Row],[MD | Baltimore]]</f>
        <v>6.4353640416047551</v>
      </c>
      <c r="P4" s="23">
        <f>Listings_Total[[#This Row],[NV | Las Vegas]]/Sales_Closed[[#This Row],[NV | Las Vegas]]</f>
        <v>5.5896370185646997</v>
      </c>
      <c r="Q4" s="23">
        <f>Listings_Total[[#This Row],[NY | Long Island]]/Sales_Closed[[#This Row],[NY | Long Island]]</f>
        <v>14.240551889622076</v>
      </c>
      <c r="R4" s="23">
        <f>Listings_Total[[#This Row],[OR | Portland]]/Sales_Closed[[#This Row],[OR | Portland]]</f>
        <v>5.0947225981055482</v>
      </c>
      <c r="S4" s="23">
        <f>Listings_Total[[#This Row],[PA | Philadelphia]]/Sales_Closed[[#This Row],[PA | Philadelphia]]</f>
        <v>4.6739130434782608</v>
      </c>
      <c r="T4" s="23">
        <f>Listings_Total[[#This Row],[TX | Austin]]/Sales_Closed[[#This Row],[TX | Austin]]</f>
        <v>7.2753963593658248</v>
      </c>
      <c r="U4" s="23">
        <f>Listings_Total[[#This Row],[WA | Seattle]]/Sales_Closed[[#This Row],[WA | Seattle]]</f>
        <v>5.1493406930389449</v>
      </c>
      <c r="V4" s="8"/>
      <c r="W4" s="8"/>
    </row>
    <row r="5" spans="1:23" x14ac:dyDescent="0.25">
      <c r="A5" s="5">
        <v>40269</v>
      </c>
      <c r="B5" s="22">
        <f>Listings_Total[[#This Row],[National]]/Sales_Closed[[#This Row],[National]]</f>
        <v>4.9237014499053062</v>
      </c>
      <c r="C5" s="23">
        <f>Listings_Total[[#This Row],[AZ | Phoenix]]/Sales_Closed[[#This Row],[AZ | Phoenix]]</f>
        <v>3.4181450707388277</v>
      </c>
      <c r="D5" s="23">
        <f>Listings_Total[[#This Row],[CA | Inland Empire]]/Sales_Closed[[#This Row],[CA | Inland Empire]]</f>
        <v>3.5850826972010177</v>
      </c>
      <c r="E5" s="23">
        <f>Listings_Total[[#This Row],[CA | Los Angeles]]/Sales_Closed[[#This Row],[CA | Los Angeles]]</f>
        <v>3.8972767038239029</v>
      </c>
      <c r="F5" s="23">
        <f>Listings_Total[[#This Row],[CA | Sacramento]]/Sales_Closed[[#This Row],[CA | Sacramento]]</f>
        <v>4.2322675486953329</v>
      </c>
      <c r="G5" s="23">
        <f>Listings_Total[[#This Row],[CA | San Diego]]/Sales_Closed[[#This Row],[CA | San Diego]]</f>
        <v>4.4512987012987013</v>
      </c>
      <c r="H5" s="23">
        <f>Listings_Total[[#This Row],[CA | San Francisco]]/Sales_Closed[[#This Row],[CA | San Francisco]]</f>
        <v>2.9712918660287082</v>
      </c>
      <c r="I5" s="23">
        <f>Listings_Total[[#This Row],[CA | San Jose]]/Sales_Closed[[#This Row],[CA | San Jose]]</f>
        <v>2.7404817404817403</v>
      </c>
      <c r="J5" s="23">
        <f>Listings_Total[[#This Row],[CA | Ventura]]/Sales_Closed[[#This Row],[CA | Ventura]]</f>
        <v>4.6498316498316496</v>
      </c>
      <c r="K5" s="23">
        <f>Listings_Total[[#This Row],[CO | Denver]]/Sales_Closed[[#This Row],[CO | Denver]]</f>
        <v>5.1589621234715182</v>
      </c>
      <c r="L5" s="23">
        <f>Listings_Total[[#This Row],[DC | Washington]]/Sales_Closed[[#This Row],[DC | Washington]]</f>
        <v>3.8950811727647201</v>
      </c>
      <c r="M5" s="23">
        <f>Listings_Total[[#This Row],[IL | Chicago]]/Sales_Closed[[#This Row],[IL | Chicago]]</f>
        <v>7.8262702930634616</v>
      </c>
      <c r="N5" s="23">
        <f>Listings_Total[[#This Row],[MA | Boston]]/Sales_Closed[[#This Row],[MA | Boston]]</f>
        <v>7.1911111111111108</v>
      </c>
      <c r="O5" s="23">
        <f>Listings_Total[[#This Row],[MD | Baltimore]]/Sales_Closed[[#This Row],[MD | Baltimore]]</f>
        <v>5.808988764044944</v>
      </c>
      <c r="P5" s="23">
        <f>Listings_Total[[#This Row],[NV | Las Vegas]]/Sales_Closed[[#This Row],[NV | Las Vegas]]</f>
        <v>6.0923896949955578</v>
      </c>
      <c r="Q5" s="23">
        <f>Listings_Total[[#This Row],[NY | Long Island]]/Sales_Closed[[#This Row],[NY | Long Island]]</f>
        <v>14.588474970896391</v>
      </c>
      <c r="R5" s="23">
        <f>Listings_Total[[#This Row],[OR | Portland]]/Sales_Closed[[#This Row],[OR | Portland]]</f>
        <v>4.7022166457549144</v>
      </c>
      <c r="S5" s="23">
        <f>Listings_Total[[#This Row],[PA | Philadelphia]]/Sales_Closed[[#This Row],[PA | Philadelphia]]</f>
        <v>4.5436800000000002</v>
      </c>
      <c r="T5" s="23">
        <f>Listings_Total[[#This Row],[TX | Austin]]/Sales_Closed[[#This Row],[TX | Austin]]</f>
        <v>7.1305469556243546</v>
      </c>
      <c r="U5" s="23">
        <f>Listings_Total[[#This Row],[WA | Seattle]]/Sales_Closed[[#This Row],[WA | Seattle]]</f>
        <v>5.1128129602356402</v>
      </c>
      <c r="V5" s="8"/>
      <c r="W5" s="8"/>
    </row>
    <row r="6" spans="1:23" x14ac:dyDescent="0.25">
      <c r="A6" s="5">
        <v>40299</v>
      </c>
      <c r="B6" s="22">
        <f>Listings_Total[[#This Row],[National]]/Sales_Closed[[#This Row],[National]]</f>
        <v>4.6919626388868396</v>
      </c>
      <c r="C6" s="23">
        <f>Listings_Total[[#This Row],[AZ | Phoenix]]/Sales_Closed[[#This Row],[AZ | Phoenix]]</f>
        <v>3.5278263913195658</v>
      </c>
      <c r="D6" s="23">
        <f>Listings_Total[[#This Row],[CA | Inland Empire]]/Sales_Closed[[#This Row],[CA | Inland Empire]]</f>
        <v>3.5923486986516151</v>
      </c>
      <c r="E6" s="23">
        <f>Listings_Total[[#This Row],[CA | Los Angeles]]/Sales_Closed[[#This Row],[CA | Los Angeles]]</f>
        <v>3.6395919421487601</v>
      </c>
      <c r="F6" s="23">
        <f>Listings_Total[[#This Row],[CA | Sacramento]]/Sales_Closed[[#This Row],[CA | Sacramento]]</f>
        <v>3.7594369801663468</v>
      </c>
      <c r="G6" s="23">
        <f>Listings_Total[[#This Row],[CA | San Diego]]/Sales_Closed[[#This Row],[CA | San Diego]]</f>
        <v>3.9228925289652419</v>
      </c>
      <c r="H6" s="23">
        <f>Listings_Total[[#This Row],[CA | San Francisco]]/Sales_Closed[[#This Row],[CA | San Francisco]]</f>
        <v>2.5938014262205158</v>
      </c>
      <c r="I6" s="23">
        <f>Listings_Total[[#This Row],[CA | San Jose]]/Sales_Closed[[#This Row],[CA | San Jose]]</f>
        <v>2.2976653696498053</v>
      </c>
      <c r="J6" s="23">
        <f>Listings_Total[[#This Row],[CA | Ventura]]/Sales_Closed[[#This Row],[CA | Ventura]]</f>
        <v>4.4992000000000001</v>
      </c>
      <c r="K6" s="23">
        <f>Listings_Total[[#This Row],[CO | Denver]]/Sales_Closed[[#This Row],[CO | Denver]]</f>
        <v>4.7821046373365039</v>
      </c>
      <c r="L6" s="23">
        <f>Listings_Total[[#This Row],[DC | Washington]]/Sales_Closed[[#This Row],[DC | Washington]]</f>
        <v>3.7229357798165137</v>
      </c>
      <c r="M6" s="23">
        <f>Listings_Total[[#This Row],[IL | Chicago]]/Sales_Closed[[#This Row],[IL | Chicago]]</f>
        <v>7.4052662839041776</v>
      </c>
      <c r="N6" s="23">
        <f>Listings_Total[[#This Row],[MA | Boston]]/Sales_Closed[[#This Row],[MA | Boston]]</f>
        <v>6.4570069520673252</v>
      </c>
      <c r="O6" s="23">
        <f>Listings_Total[[#This Row],[MD | Baltimore]]/Sales_Closed[[#This Row],[MD | Baltimore]]</f>
        <v>5.4859114433582521</v>
      </c>
      <c r="P6" s="23">
        <f>Listings_Total[[#This Row],[NV | Las Vegas]]/Sales_Closed[[#This Row],[NV | Las Vegas]]</f>
        <v>6.2207398423286842</v>
      </c>
      <c r="Q6" s="23">
        <f>Listings_Total[[#This Row],[NY | Long Island]]/Sales_Closed[[#This Row],[NY | Long Island]]</f>
        <v>14.632571428571429</v>
      </c>
      <c r="R6" s="23">
        <f>Listings_Total[[#This Row],[OR | Portland]]/Sales_Closed[[#This Row],[OR | Portland]]</f>
        <v>4.7296964725184578</v>
      </c>
      <c r="S6" s="23">
        <f>Listings_Total[[#This Row],[PA | Philadelphia]]/Sales_Closed[[#This Row],[PA | Philadelphia]]</f>
        <v>3.7132788271778967</v>
      </c>
      <c r="T6" s="23">
        <f>Listings_Total[[#This Row],[TX | Austin]]/Sales_Closed[[#This Row],[TX | Austin]]</f>
        <v>6.7766599597585513</v>
      </c>
      <c r="U6" s="23">
        <f>Listings_Total[[#This Row],[WA | Seattle]]/Sales_Closed[[#This Row],[WA | Seattle]]</f>
        <v>5.3607482185273163</v>
      </c>
      <c r="V6" s="8"/>
      <c r="W6" s="8"/>
    </row>
    <row r="7" spans="1:23" x14ac:dyDescent="0.25">
      <c r="A7" s="5">
        <v>40330</v>
      </c>
      <c r="B7" s="22">
        <f>Listings_Total[[#This Row],[National]]/Sales_Closed[[#This Row],[National]]</f>
        <v>4.292067354869098</v>
      </c>
      <c r="C7" s="23">
        <f>Listings_Total[[#This Row],[AZ | Phoenix]]/Sales_Closed[[#This Row],[AZ | Phoenix]]</f>
        <v>3.3914177077675176</v>
      </c>
      <c r="D7" s="23">
        <f>Listings_Total[[#This Row],[CA | Inland Empire]]/Sales_Closed[[#This Row],[CA | Inland Empire]]</f>
        <v>3.3134158486271161</v>
      </c>
      <c r="E7" s="23">
        <f>Listings_Total[[#This Row],[CA | Los Angeles]]/Sales_Closed[[#This Row],[CA | Los Angeles]]</f>
        <v>3.6448182043037347</v>
      </c>
      <c r="F7" s="23">
        <f>Listings_Total[[#This Row],[CA | Sacramento]]/Sales_Closed[[#This Row],[CA | Sacramento]]</f>
        <v>3.7649585762503834</v>
      </c>
      <c r="G7" s="23">
        <f>Listings_Total[[#This Row],[CA | San Diego]]/Sales_Closed[[#This Row],[CA | San Diego]]</f>
        <v>4.1763754045307442</v>
      </c>
      <c r="H7" s="23">
        <f>Listings_Total[[#This Row],[CA | San Francisco]]/Sales_Closed[[#This Row],[CA | San Francisco]]</f>
        <v>2.672603457307491</v>
      </c>
      <c r="I7" s="23">
        <f>Listings_Total[[#This Row],[CA | San Jose]]/Sales_Closed[[#This Row],[CA | San Jose]]</f>
        <v>2.7438249823570926</v>
      </c>
      <c r="J7" s="23">
        <f>Listings_Total[[#This Row],[CA | Ventura]]/Sales_Closed[[#This Row],[CA | Ventura]]</f>
        <v>4.7109004739336493</v>
      </c>
      <c r="K7" s="23">
        <f>Listings_Total[[#This Row],[CO | Denver]]/Sales_Closed[[#This Row],[CO | Denver]]</f>
        <v>5.0213292117465222</v>
      </c>
      <c r="L7" s="23">
        <f>Listings_Total[[#This Row],[DC | Washington]]/Sales_Closed[[#This Row],[DC | Washington]]</f>
        <v>3.0458782672271978</v>
      </c>
      <c r="M7" s="23">
        <f>Listings_Total[[#This Row],[IL | Chicago]]/Sales_Closed[[#This Row],[IL | Chicago]]</f>
        <v>6.4321192052980134</v>
      </c>
      <c r="N7" s="23">
        <f>Listings_Total[[#This Row],[MA | Boston]]/Sales_Closed[[#This Row],[MA | Boston]]</f>
        <v>4.8209153805215541</v>
      </c>
      <c r="O7" s="23">
        <f>Listings_Total[[#This Row],[MD | Baltimore]]/Sales_Closed[[#This Row],[MD | Baltimore]]</f>
        <v>4.457232422749664</v>
      </c>
      <c r="P7" s="23">
        <f>Listings_Total[[#This Row],[NV | Las Vegas]]/Sales_Closed[[#This Row],[NV | Las Vegas]]</f>
        <v>5.5430988894764672</v>
      </c>
      <c r="Q7" s="23">
        <f>Listings_Total[[#This Row],[NY | Long Island]]/Sales_Closed[[#This Row],[NY | Long Island]]</f>
        <v>8.5066065098291972</v>
      </c>
      <c r="R7" s="23">
        <f>Listings_Total[[#This Row],[OR | Portland]]/Sales_Closed[[#This Row],[OR | Portland]]</f>
        <v>4.7448738170347005</v>
      </c>
      <c r="S7" s="23">
        <f>Listings_Total[[#This Row],[PA | Philadelphia]]/Sales_Closed[[#This Row],[PA | Philadelphia]]</f>
        <v>2.5781383432963279</v>
      </c>
      <c r="T7" s="23">
        <f>Listings_Total[[#This Row],[TX | Austin]]/Sales_Closed[[#This Row],[TX | Austin]]</f>
        <v>7.3707446808510637</v>
      </c>
      <c r="U7" s="23">
        <f>Listings_Total[[#This Row],[WA | Seattle]]/Sales_Closed[[#This Row],[WA | Seattle]]</f>
        <v>5.0778364116094989</v>
      </c>
      <c r="V7" s="8"/>
      <c r="W7" s="8"/>
    </row>
    <row r="8" spans="1:23" x14ac:dyDescent="0.25">
      <c r="A8" s="5">
        <v>40360</v>
      </c>
      <c r="B8" s="22">
        <f>Listings_Total[[#This Row],[National]]/Sales_Closed[[#This Row],[National]]</f>
        <v>5.8494954314900234</v>
      </c>
      <c r="C8" s="23">
        <f>Listings_Total[[#This Row],[AZ | Phoenix]]/Sales_Closed[[#This Row],[AZ | Phoenix]]</f>
        <v>4.8116355983162959</v>
      </c>
      <c r="D8" s="23">
        <f>Listings_Total[[#This Row],[CA | Inland Empire]]/Sales_Closed[[#This Row],[CA | Inland Empire]]</f>
        <v>4.1207353721053561</v>
      </c>
      <c r="E8" s="23">
        <f>Listings_Total[[#This Row],[CA | Los Angeles]]/Sales_Closed[[#This Row],[CA | Los Angeles]]</f>
        <v>4.5019128899352561</v>
      </c>
      <c r="F8" s="23">
        <f>Listings_Total[[#This Row],[CA | Sacramento]]/Sales_Closed[[#This Row],[CA | Sacramento]]</f>
        <v>5.1030008110300082</v>
      </c>
      <c r="G8" s="23">
        <f>Listings_Total[[#This Row],[CA | San Diego]]/Sales_Closed[[#This Row],[CA | San Diego]]</f>
        <v>5.2191848906560638</v>
      </c>
      <c r="H8" s="23">
        <f>Listings_Total[[#This Row],[CA | San Francisco]]/Sales_Closed[[#This Row],[CA | San Francisco]]</f>
        <v>3.2444920440636476</v>
      </c>
      <c r="I8" s="23">
        <f>Listings_Total[[#This Row],[CA | San Jose]]/Sales_Closed[[#This Row],[CA | San Jose]]</f>
        <v>3.2444444444444445</v>
      </c>
      <c r="J8" s="23">
        <f>Listings_Total[[#This Row],[CA | Ventura]]/Sales_Closed[[#This Row],[CA | Ventura]]</f>
        <v>5.773897058823529</v>
      </c>
      <c r="K8" s="23">
        <f>Listings_Total[[#This Row],[CO | Denver]]/Sales_Closed[[#This Row],[CO | Denver]]</f>
        <v>6.3256269592476491</v>
      </c>
      <c r="L8" s="23">
        <f>Listings_Total[[#This Row],[DC | Washington]]/Sales_Closed[[#This Row],[DC | Washington]]</f>
        <v>4.3757845188284517</v>
      </c>
      <c r="M8" s="23">
        <f>Listings_Total[[#This Row],[IL | Chicago]]/Sales_Closed[[#This Row],[IL | Chicago]]</f>
        <v>9.3548464491362768</v>
      </c>
      <c r="N8" s="23">
        <f>Listings_Total[[#This Row],[MA | Boston]]/Sales_Closed[[#This Row],[MA | Boston]]</f>
        <v>7.5739570164348926</v>
      </c>
      <c r="O8" s="23">
        <f>Listings_Total[[#This Row],[MD | Baltimore]]/Sales_Closed[[#This Row],[MD | Baltimore]]</f>
        <v>6.9541029207232263</v>
      </c>
      <c r="P8" s="23">
        <f>Listings_Total[[#This Row],[NV | Las Vegas]]/Sales_Closed[[#This Row],[NV | Las Vegas]]</f>
        <v>6.4004952027236151</v>
      </c>
      <c r="Q8" s="23">
        <f>Listings_Total[[#This Row],[NY | Long Island]]/Sales_Closed[[#This Row],[NY | Long Island]]</f>
        <v>15.089171974522293</v>
      </c>
      <c r="R8" s="23">
        <f>Listings_Total[[#This Row],[OR | Portland]]/Sales_Closed[[#This Row],[OR | Portland]]</f>
        <v>7.1998827667057448</v>
      </c>
      <c r="S8" s="23">
        <f>Listings_Total[[#This Row],[PA | Philadelphia]]/Sales_Closed[[#This Row],[PA | Philadelphia]]</f>
        <v>4.1470895782502613</v>
      </c>
      <c r="T8" s="23">
        <f>Listings_Total[[#This Row],[TX | Austin]]/Sales_Closed[[#This Row],[TX | Austin]]</f>
        <v>9.6936050597329579</v>
      </c>
      <c r="U8" s="23">
        <f>Listings_Total[[#This Row],[WA | Seattle]]/Sales_Closed[[#This Row],[WA | Seattle]]</f>
        <v>7.4887275506304931</v>
      </c>
      <c r="V8" s="8"/>
      <c r="W8" s="8"/>
    </row>
    <row r="9" spans="1:23" x14ac:dyDescent="0.25">
      <c r="A9" s="5">
        <v>40391</v>
      </c>
      <c r="B9" s="22">
        <f>Listings_Total[[#This Row],[National]]/Sales_Closed[[#This Row],[National]]</f>
        <v>5.9929260103775785</v>
      </c>
      <c r="C9" s="23">
        <f>Listings_Total[[#This Row],[AZ | Phoenix]]/Sales_Closed[[#This Row],[AZ | Phoenix]]</f>
        <v>5.0216208043543995</v>
      </c>
      <c r="D9" s="23">
        <f>Listings_Total[[#This Row],[CA | Inland Empire]]/Sales_Closed[[#This Row],[CA | Inland Empire]]</f>
        <v>4.3969941348973611</v>
      </c>
      <c r="E9" s="23">
        <f>Listings_Total[[#This Row],[CA | Los Angeles]]/Sales_Closed[[#This Row],[CA | Los Angeles]]</f>
        <v>4.7875735977688256</v>
      </c>
      <c r="F9" s="23">
        <f>Listings_Total[[#This Row],[CA | Sacramento]]/Sales_Closed[[#This Row],[CA | Sacramento]]</f>
        <v>4.73621901590825</v>
      </c>
      <c r="G9" s="23">
        <f>Listings_Total[[#This Row],[CA | San Diego]]/Sales_Closed[[#This Row],[CA | San Diego]]</f>
        <v>5.1199216837983359</v>
      </c>
      <c r="H9" s="23">
        <f>Listings_Total[[#This Row],[CA | San Francisco]]/Sales_Closed[[#This Row],[CA | San Francisco]]</f>
        <v>3.4835451287064192</v>
      </c>
      <c r="I9" s="23">
        <f>Listings_Total[[#This Row],[CA | San Jose]]/Sales_Closed[[#This Row],[CA | San Jose]]</f>
        <v>3.7704770477047704</v>
      </c>
      <c r="J9" s="23">
        <f>Listings_Total[[#This Row],[CA | Ventura]]/Sales_Closed[[#This Row],[CA | Ventura]]</f>
        <v>6.1787819253438112</v>
      </c>
      <c r="K9" s="23">
        <f>Listings_Total[[#This Row],[CO | Denver]]/Sales_Closed[[#This Row],[CO | Denver]]</f>
        <v>6.6279164961113386</v>
      </c>
      <c r="L9" s="23">
        <f>Listings_Total[[#This Row],[DC | Washington]]/Sales_Closed[[#This Row],[DC | Washington]]</f>
        <v>4.2867438867438867</v>
      </c>
      <c r="M9" s="23">
        <f>Listings_Total[[#This Row],[IL | Chicago]]/Sales_Closed[[#This Row],[IL | Chicago]]</f>
        <v>9.8308470290771179</v>
      </c>
      <c r="N9" s="23">
        <f>Listings_Total[[#This Row],[MA | Boston]]/Sales_Closed[[#This Row],[MA | Boston]]</f>
        <v>7.4073455759599334</v>
      </c>
      <c r="O9" s="23">
        <f>Listings_Total[[#This Row],[MD | Baltimore]]/Sales_Closed[[#This Row],[MD | Baltimore]]</f>
        <v>6.362707535121328</v>
      </c>
      <c r="P9" s="23">
        <f>Listings_Total[[#This Row],[NV | Las Vegas]]/Sales_Closed[[#This Row],[NV | Las Vegas]]</f>
        <v>6.6846034214618975</v>
      </c>
      <c r="Q9" s="23">
        <f>Listings_Total[[#This Row],[NY | Long Island]]/Sales_Closed[[#This Row],[NY | Long Island]]</f>
        <v>14.586711711711711</v>
      </c>
      <c r="R9" s="23">
        <f>Listings_Total[[#This Row],[OR | Portland]]/Sales_Closed[[#This Row],[OR | Portland]]</f>
        <v>7.4036860879904873</v>
      </c>
      <c r="S9" s="23">
        <f>Listings_Total[[#This Row],[PA | Philadelphia]]/Sales_Closed[[#This Row],[PA | Philadelphia]]</f>
        <v>4.3777777777777782</v>
      </c>
      <c r="T9" s="23">
        <f>Listings_Total[[#This Row],[TX | Austin]]/Sales_Closed[[#This Row],[TX | Austin]]</f>
        <v>9.4194915254237284</v>
      </c>
      <c r="U9" s="23">
        <f>Listings_Total[[#This Row],[WA | Seattle]]/Sales_Closed[[#This Row],[WA | Seattle]]</f>
        <v>7.4820198928844679</v>
      </c>
      <c r="V9" s="8"/>
      <c r="W9" s="8"/>
    </row>
    <row r="10" spans="1:23" x14ac:dyDescent="0.25">
      <c r="A10" s="5">
        <v>40422</v>
      </c>
      <c r="B10" s="22">
        <f>Listings_Total[[#This Row],[National]]/Sales_Closed[[#This Row],[National]]</f>
        <v>6.2733910425291679</v>
      </c>
      <c r="C10" s="23">
        <f>Listings_Total[[#This Row],[AZ | Phoenix]]/Sales_Closed[[#This Row],[AZ | Phoenix]]</f>
        <v>5.30679012345679</v>
      </c>
      <c r="D10" s="23">
        <f>Listings_Total[[#This Row],[CA | Inland Empire]]/Sales_Closed[[#This Row],[CA | Inland Empire]]</f>
        <v>4.554384644335717</v>
      </c>
      <c r="E10" s="23">
        <f>Listings_Total[[#This Row],[CA | Los Angeles]]/Sales_Closed[[#This Row],[CA | Los Angeles]]</f>
        <v>4.781415653258497</v>
      </c>
      <c r="F10" s="23">
        <f>Listings_Total[[#This Row],[CA | Sacramento]]/Sales_Closed[[#This Row],[CA | Sacramento]]</f>
        <v>5.0184025058731399</v>
      </c>
      <c r="G10" s="23">
        <f>Listings_Total[[#This Row],[CA | San Diego]]/Sales_Closed[[#This Row],[CA | San Diego]]</f>
        <v>5.1117764471057887</v>
      </c>
      <c r="H10" s="23">
        <f>Listings_Total[[#This Row],[CA | San Francisco]]/Sales_Closed[[#This Row],[CA | San Francisco]]</f>
        <v>3.8516729906864438</v>
      </c>
      <c r="I10" s="23">
        <f>Listings_Total[[#This Row],[CA | San Jose]]/Sales_Closed[[#This Row],[CA | San Jose]]</f>
        <v>3.9624060150375939</v>
      </c>
      <c r="J10" s="23">
        <f>Listings_Total[[#This Row],[CA | Ventura]]/Sales_Closed[[#This Row],[CA | Ventura]]</f>
        <v>6.5618448637316558</v>
      </c>
      <c r="K10" s="23">
        <f>Listings_Total[[#This Row],[CO | Denver]]/Sales_Closed[[#This Row],[CO | Denver]]</f>
        <v>6.8540680154972016</v>
      </c>
      <c r="L10" s="23">
        <f>Listings_Total[[#This Row],[DC | Washington]]/Sales_Closed[[#This Row],[DC | Washington]]</f>
        <v>4.9253472222222223</v>
      </c>
      <c r="M10" s="23">
        <f>Listings_Total[[#This Row],[IL | Chicago]]/Sales_Closed[[#This Row],[IL | Chicago]]</f>
        <v>10.218550106609808</v>
      </c>
      <c r="N10" s="23">
        <f>Listings_Total[[#This Row],[MA | Boston]]/Sales_Closed[[#This Row],[MA | Boston]]</f>
        <v>9.0417910447761187</v>
      </c>
      <c r="O10" s="23">
        <f>Listings_Total[[#This Row],[MD | Baltimore]]/Sales_Closed[[#This Row],[MD | Baltimore]]</f>
        <v>6.9749478079331944</v>
      </c>
      <c r="P10" s="23">
        <f>Listings_Total[[#This Row],[NV | Las Vegas]]/Sales_Closed[[#This Row],[NV | Las Vegas]]</f>
        <v>6.7476340694006307</v>
      </c>
      <c r="Q10" s="23">
        <f>Listings_Total[[#This Row],[NY | Long Island]]/Sales_Closed[[#This Row],[NY | Long Island]]</f>
        <v>14.495222034851039</v>
      </c>
      <c r="R10" s="23">
        <f>Listings_Total[[#This Row],[OR | Portland]]/Sales_Closed[[#This Row],[OR | Portland]]</f>
        <v>7.1239092495636998</v>
      </c>
      <c r="S10" s="23">
        <f>Listings_Total[[#This Row],[PA | Philadelphia]]/Sales_Closed[[#This Row],[PA | Philadelphia]]</f>
        <v>4.9096221269964939</v>
      </c>
      <c r="T10" s="23">
        <f>Listings_Total[[#This Row],[TX | Austin]]/Sales_Closed[[#This Row],[TX | Austin]]</f>
        <v>9.8650662251655632</v>
      </c>
      <c r="U10" s="23">
        <f>Listings_Total[[#This Row],[WA | Seattle]]/Sales_Closed[[#This Row],[WA | Seattle]]</f>
        <v>7.6056506167926781</v>
      </c>
      <c r="V10" s="8"/>
      <c r="W10" s="8"/>
    </row>
    <row r="11" spans="1:23" x14ac:dyDescent="0.25">
      <c r="A11" s="5">
        <v>40452</v>
      </c>
      <c r="B11" s="22">
        <f>Listings_Total[[#This Row],[National]]/Sales_Closed[[#This Row],[National]]</f>
        <v>6.3903856523736291</v>
      </c>
      <c r="C11" s="23">
        <f>Listings_Total[[#This Row],[AZ | Phoenix]]/Sales_Closed[[#This Row],[AZ | Phoenix]]</f>
        <v>5.4065589204456304</v>
      </c>
      <c r="D11" s="23">
        <f>Listings_Total[[#This Row],[CA | Inland Empire]]/Sales_Closed[[#This Row],[CA | Inland Empire]]</f>
        <v>4.6411048870001927</v>
      </c>
      <c r="E11" s="23">
        <f>Listings_Total[[#This Row],[CA | Los Angeles]]/Sales_Closed[[#This Row],[CA | Los Angeles]]</f>
        <v>4.994893617021277</v>
      </c>
      <c r="F11" s="23">
        <f>Listings_Total[[#This Row],[CA | Sacramento]]/Sales_Closed[[#This Row],[CA | Sacramento]]</f>
        <v>5.2668918918918921</v>
      </c>
      <c r="G11" s="23">
        <f>Listings_Total[[#This Row],[CA | San Diego]]/Sales_Closed[[#This Row],[CA | San Diego]]</f>
        <v>5.2071389940508386</v>
      </c>
      <c r="H11" s="23">
        <f>Listings_Total[[#This Row],[CA | San Francisco]]/Sales_Closed[[#This Row],[CA | San Francisco]]</f>
        <v>3.6538461538461537</v>
      </c>
      <c r="I11" s="23">
        <f>Listings_Total[[#This Row],[CA | San Jose]]/Sales_Closed[[#This Row],[CA | San Jose]]</f>
        <v>3.8980827447023207</v>
      </c>
      <c r="J11" s="23">
        <f>Listings_Total[[#This Row],[CA | Ventura]]/Sales_Closed[[#This Row],[CA | Ventura]]</f>
        <v>6.8811659192825116</v>
      </c>
      <c r="K11" s="23">
        <f>Listings_Total[[#This Row],[CO | Denver]]/Sales_Closed[[#This Row],[CO | Denver]]</f>
        <v>6.6186440677966099</v>
      </c>
      <c r="L11" s="23">
        <f>Listings_Total[[#This Row],[DC | Washington]]/Sales_Closed[[#This Row],[DC | Washington]]</f>
        <v>5.1777847702957835</v>
      </c>
      <c r="M11" s="23">
        <f>Listings_Total[[#This Row],[IL | Chicago]]/Sales_Closed[[#This Row],[IL | Chicago]]</f>
        <v>10.814836795252225</v>
      </c>
      <c r="N11" s="23">
        <f>Listings_Total[[#This Row],[MA | Boston]]/Sales_Closed[[#This Row],[MA | Boston]]</f>
        <v>9.8391877058177819</v>
      </c>
      <c r="O11" s="23">
        <f>Listings_Total[[#This Row],[MD | Baltimore]]/Sales_Closed[[#This Row],[MD | Baltimore]]</f>
        <v>7.3307810107197549</v>
      </c>
      <c r="P11" s="23">
        <f>Listings_Total[[#This Row],[NV | Las Vegas]]/Sales_Closed[[#This Row],[NV | Las Vegas]]</f>
        <v>7.0599520383693042</v>
      </c>
      <c r="Q11" s="23">
        <f>Listings_Total[[#This Row],[NY | Long Island]]/Sales_Closed[[#This Row],[NY | Long Island]]</f>
        <v>15.70311506675143</v>
      </c>
      <c r="R11" s="23">
        <f>Listings_Total[[#This Row],[OR | Portland]]/Sales_Closed[[#This Row],[OR | Portland]]</f>
        <v>7.2776735459662287</v>
      </c>
      <c r="S11" s="23">
        <f>Listings_Total[[#This Row],[PA | Philadelphia]]/Sales_Closed[[#This Row],[PA | Philadelphia]]</f>
        <v>5.2471386180584991</v>
      </c>
      <c r="T11" s="23">
        <f>Listings_Total[[#This Row],[TX | Austin]]/Sales_Closed[[#This Row],[TX | Austin]]</f>
        <v>8.3216123499142363</v>
      </c>
      <c r="U11" s="23">
        <f>Listings_Total[[#This Row],[WA | Seattle]]/Sales_Closed[[#This Row],[WA | Seattle]]</f>
        <v>7.1865079365079367</v>
      </c>
      <c r="V11" s="8"/>
      <c r="W11" s="8"/>
    </row>
    <row r="12" spans="1:23" x14ac:dyDescent="0.25">
      <c r="A12" s="5">
        <v>40483</v>
      </c>
      <c r="B12" s="22">
        <f>Listings_Total[[#This Row],[National]]/Sales_Closed[[#This Row],[National]]</f>
        <v>6.2408154985292628</v>
      </c>
      <c r="C12" s="23">
        <f>Listings_Total[[#This Row],[AZ | Phoenix]]/Sales_Closed[[#This Row],[AZ | Phoenix]]</f>
        <v>5.3463203463203461</v>
      </c>
      <c r="D12" s="23">
        <f>Listings_Total[[#This Row],[CA | Inland Empire]]/Sales_Closed[[#This Row],[CA | Inland Empire]]</f>
        <v>4.8195443645083929</v>
      </c>
      <c r="E12" s="23">
        <f>Listings_Total[[#This Row],[CA | Los Angeles]]/Sales_Closed[[#This Row],[CA | Los Angeles]]</f>
        <v>4.8678239944998278</v>
      </c>
      <c r="F12" s="23">
        <f>Listings_Total[[#This Row],[CA | Sacramento]]/Sales_Closed[[#This Row],[CA | Sacramento]]</f>
        <v>5.1396624472573835</v>
      </c>
      <c r="G12" s="23">
        <f>Listings_Total[[#This Row],[CA | San Diego]]/Sales_Closed[[#This Row],[CA | San Diego]]</f>
        <v>5.5388755980861246</v>
      </c>
      <c r="H12" s="23">
        <f>Listings_Total[[#This Row],[CA | San Francisco]]/Sales_Closed[[#This Row],[CA | San Francisco]]</f>
        <v>3.4665249734325188</v>
      </c>
      <c r="I12" s="23">
        <f>Listings_Total[[#This Row],[CA | San Jose]]/Sales_Closed[[#This Row],[CA | San Jose]]</f>
        <v>3.211485870556062</v>
      </c>
      <c r="J12" s="23">
        <f>Listings_Total[[#This Row],[CA | Ventura]]/Sales_Closed[[#This Row],[CA | Ventura]]</f>
        <v>6.7585421412300679</v>
      </c>
      <c r="K12" s="23">
        <f>Listings_Total[[#This Row],[CO | Denver]]/Sales_Closed[[#This Row],[CO | Denver]]</f>
        <v>6.4317868626550299</v>
      </c>
      <c r="L12" s="23">
        <f>Listings_Total[[#This Row],[DC | Washington]]/Sales_Closed[[#This Row],[DC | Washington]]</f>
        <v>4.779058896852602</v>
      </c>
      <c r="M12" s="23">
        <f>Listings_Total[[#This Row],[IL | Chicago]]/Sales_Closed[[#This Row],[IL | Chicago]]</f>
        <v>10.863396460726483</v>
      </c>
      <c r="N12" s="23">
        <f>Listings_Total[[#This Row],[MA | Boston]]/Sales_Closed[[#This Row],[MA | Boston]]</f>
        <v>9.2970073404856013</v>
      </c>
      <c r="O12" s="23">
        <f>Listings_Total[[#This Row],[MD | Baltimore]]/Sales_Closed[[#This Row],[MD | Baltimore]]</f>
        <v>7.03125</v>
      </c>
      <c r="P12" s="23">
        <f>Listings_Total[[#This Row],[NV | Las Vegas]]/Sales_Closed[[#This Row],[NV | Las Vegas]]</f>
        <v>6.8779840848806364</v>
      </c>
      <c r="Q12" s="23">
        <f>Listings_Total[[#This Row],[NY | Long Island]]/Sales_Closed[[#This Row],[NY | Long Island]]</f>
        <v>15.327496757457848</v>
      </c>
      <c r="R12" s="23">
        <f>Listings_Total[[#This Row],[OR | Portland]]/Sales_Closed[[#This Row],[OR | Portland]]</f>
        <v>6.9599745870393903</v>
      </c>
      <c r="S12" s="23">
        <f>Listings_Total[[#This Row],[PA | Philadelphia]]/Sales_Closed[[#This Row],[PA | Philadelphia]]</f>
        <v>5.3468507333908546</v>
      </c>
      <c r="T12" s="23">
        <f>Listings_Total[[#This Row],[TX | Austin]]/Sales_Closed[[#This Row],[TX | Austin]]</f>
        <v>7.2466101694915253</v>
      </c>
      <c r="U12" s="23">
        <f>Listings_Total[[#This Row],[WA | Seattle]]/Sales_Closed[[#This Row],[WA | Seattle]]</f>
        <v>7.2677029360967182</v>
      </c>
      <c r="V12" s="8"/>
      <c r="W12" s="8"/>
    </row>
    <row r="13" spans="1:23" x14ac:dyDescent="0.25">
      <c r="A13" s="5">
        <v>40513</v>
      </c>
      <c r="B13" s="22">
        <f>Listings_Total[[#This Row],[National]]/Sales_Closed[[#This Row],[National]]</f>
        <v>5.0112654834696988</v>
      </c>
      <c r="C13" s="23">
        <f>Listings_Total[[#This Row],[AZ | Phoenix]]/Sales_Closed[[#This Row],[AZ | Phoenix]]</f>
        <v>4.1926352705410821</v>
      </c>
      <c r="D13" s="23">
        <f>Listings_Total[[#This Row],[CA | Inland Empire]]/Sales_Closed[[#This Row],[CA | Inland Empire]]</f>
        <v>4.1083709621396318</v>
      </c>
      <c r="E13" s="23">
        <f>Listings_Total[[#This Row],[CA | Los Angeles]]/Sales_Closed[[#This Row],[CA | Los Angeles]]</f>
        <v>3.9192084511233447</v>
      </c>
      <c r="F13" s="23">
        <f>Listings_Total[[#This Row],[CA | Sacramento]]/Sales_Closed[[#This Row],[CA | Sacramento]]</f>
        <v>4.2377495462794919</v>
      </c>
      <c r="G13" s="23">
        <f>Listings_Total[[#This Row],[CA | San Diego]]/Sales_Closed[[#This Row],[CA | San Diego]]</f>
        <v>3.9335727109515259</v>
      </c>
      <c r="H13" s="23">
        <f>Listings_Total[[#This Row],[CA | San Francisco]]/Sales_Closed[[#This Row],[CA | San Francisco]]</f>
        <v>2.5720858895705523</v>
      </c>
      <c r="I13" s="23">
        <f>Listings_Total[[#This Row],[CA | San Jose]]/Sales_Closed[[#This Row],[CA | San Jose]]</f>
        <v>2.5184577522559475</v>
      </c>
      <c r="J13" s="23">
        <f>Listings_Total[[#This Row],[CA | Ventura]]/Sales_Closed[[#This Row],[CA | Ventura]]</f>
        <v>5.2369402985074629</v>
      </c>
      <c r="K13" s="23">
        <f>Listings_Total[[#This Row],[CO | Denver]]/Sales_Closed[[#This Row],[CO | Denver]]</f>
        <v>5.0530560271646863</v>
      </c>
      <c r="L13" s="23">
        <f>Listings_Total[[#This Row],[DC | Washington]]/Sales_Closed[[#This Row],[DC | Washington]]</f>
        <v>4.1832352941176474</v>
      </c>
      <c r="M13" s="23">
        <f>Listings_Total[[#This Row],[IL | Chicago]]/Sales_Closed[[#This Row],[IL | Chicago]]</f>
        <v>9.2099004424778759</v>
      </c>
      <c r="N13" s="23">
        <f>Listings_Total[[#This Row],[MA | Boston]]/Sales_Closed[[#This Row],[MA | Boston]]</f>
        <v>6.2524182404421929</v>
      </c>
      <c r="O13" s="23">
        <f>Listings_Total[[#This Row],[MD | Baltimore]]/Sales_Closed[[#This Row],[MD | Baltimore]]</f>
        <v>5.9244350282485874</v>
      </c>
      <c r="P13" s="23">
        <f>Listings_Total[[#This Row],[NV | Las Vegas]]/Sales_Closed[[#This Row],[NV | Las Vegas]]</f>
        <v>5.7980713033313851</v>
      </c>
      <c r="Q13" s="23">
        <f>Listings_Total[[#This Row],[NY | Long Island]]/Sales_Closed[[#This Row],[NY | Long Island]]</f>
        <v>12.014590347923681</v>
      </c>
      <c r="R13" s="23">
        <f>Listings_Total[[#This Row],[OR | Portland]]/Sales_Closed[[#This Row],[OR | Portland]]</f>
        <v>5.9328314997104803</v>
      </c>
      <c r="S13" s="23">
        <f>Listings_Total[[#This Row],[PA | Philadelphia]]/Sales_Closed[[#This Row],[PA | Philadelphia]]</f>
        <v>4.7233169129720851</v>
      </c>
      <c r="T13" s="23">
        <f>Listings_Total[[#This Row],[TX | Austin]]/Sales_Closed[[#This Row],[TX | Austin]]</f>
        <v>5.6984011627906979</v>
      </c>
      <c r="U13" s="23">
        <f>Listings_Total[[#This Row],[WA | Seattle]]/Sales_Closed[[#This Row],[WA | Seattle]]</f>
        <v>5.3596431022649282</v>
      </c>
      <c r="V13" s="8"/>
      <c r="W13" s="8"/>
    </row>
    <row r="14" spans="1:23" x14ac:dyDescent="0.25">
      <c r="A14" s="5">
        <v>40544</v>
      </c>
      <c r="B14" s="22">
        <f>Listings_Total[[#This Row],[National]]/Sales_Closed[[#This Row],[National]]</f>
        <v>6.6613796164357959</v>
      </c>
      <c r="C14" s="23">
        <f>Listings_Total[[#This Row],[AZ | Phoenix]]/Sales_Closed[[#This Row],[AZ | Phoenix]]</f>
        <v>5.3260411602657589</v>
      </c>
      <c r="D14" s="23">
        <f>Listings_Total[[#This Row],[CA | Inland Empire]]/Sales_Closed[[#This Row],[CA | Inland Empire]]</f>
        <v>5.4644228597244187</v>
      </c>
      <c r="E14" s="23">
        <f>Listings_Total[[#This Row],[CA | Los Angeles]]/Sales_Closed[[#This Row],[CA | Los Angeles]]</f>
        <v>5.2038167938931297</v>
      </c>
      <c r="F14" s="23">
        <f>Listings_Total[[#This Row],[CA | Sacramento]]/Sales_Closed[[#This Row],[CA | Sacramento]]</f>
        <v>5.4213457076566129</v>
      </c>
      <c r="G14" s="23">
        <f>Listings_Total[[#This Row],[CA | San Diego]]/Sales_Closed[[#This Row],[CA | San Diego]]</f>
        <v>6.3854827343199441</v>
      </c>
      <c r="H14" s="23">
        <f>Listings_Total[[#This Row],[CA | San Francisco]]/Sales_Closed[[#This Row],[CA | San Francisco]]</f>
        <v>3.7061347061347063</v>
      </c>
      <c r="I14" s="23">
        <f>Listings_Total[[#This Row],[CA | San Jose]]/Sales_Closed[[#This Row],[CA | San Jose]]</f>
        <v>3.6401869158878504</v>
      </c>
      <c r="J14" s="23">
        <f>Listings_Total[[#This Row],[CA | Ventura]]/Sales_Closed[[#This Row],[CA | Ventura]]</f>
        <v>7.3643216080402008</v>
      </c>
      <c r="K14" s="23">
        <f>Listings_Total[[#This Row],[CO | Denver]]/Sales_Closed[[#This Row],[CO | Denver]]</f>
        <v>7.0989421281891723</v>
      </c>
      <c r="L14" s="23">
        <f>Listings_Total[[#This Row],[DC | Washington]]/Sales_Closed[[#This Row],[DC | Washington]]</f>
        <v>5.5459265175718846</v>
      </c>
      <c r="M14" s="23">
        <f>Listings_Total[[#This Row],[IL | Chicago]]/Sales_Closed[[#This Row],[IL | Chicago]]</f>
        <v>11.724938445304256</v>
      </c>
      <c r="N14" s="23">
        <f>Listings_Total[[#This Row],[MA | Boston]]/Sales_Closed[[#This Row],[MA | Boston]]</f>
        <v>8.6488011283497883</v>
      </c>
      <c r="O14" s="23">
        <f>Listings_Total[[#This Row],[MD | Baltimore]]/Sales_Closed[[#This Row],[MD | Baltimore]]</f>
        <v>6.9364944961896695</v>
      </c>
      <c r="P14" s="23">
        <f>Listings_Total[[#This Row],[NV | Las Vegas]]/Sales_Closed[[#This Row],[NV | Las Vegas]]</f>
        <v>7.2684248554913298</v>
      </c>
      <c r="Q14" s="23">
        <f>Listings_Total[[#This Row],[NY | Long Island]]/Sales_Closed[[#This Row],[NY | Long Island]]</f>
        <v>14.693863319386331</v>
      </c>
      <c r="R14" s="23">
        <f>Listings_Total[[#This Row],[OR | Portland]]/Sales_Closed[[#This Row],[OR | Portland]]</f>
        <v>7.8382126348228045</v>
      </c>
      <c r="S14" s="23">
        <f>Listings_Total[[#This Row],[PA | Philadelphia]]/Sales_Closed[[#This Row],[PA | Philadelphia]]</f>
        <v>6.2570986060918949</v>
      </c>
      <c r="T14" s="23">
        <f>Listings_Total[[#This Row],[TX | Austin]]/Sales_Closed[[#This Row],[TX | Austin]]</f>
        <v>8.3863134657836653</v>
      </c>
      <c r="U14" s="23">
        <f>Listings_Total[[#This Row],[WA | Seattle]]/Sales_Closed[[#This Row],[WA | Seattle]]</f>
        <v>7.9561586638830901</v>
      </c>
      <c r="V14" s="8"/>
      <c r="W14" s="8"/>
    </row>
    <row r="15" spans="1:23" x14ac:dyDescent="0.25">
      <c r="A15" s="5">
        <v>40575</v>
      </c>
      <c r="B15" s="22">
        <f>Listings_Total[[#This Row],[National]]/Sales_Closed[[#This Row],[National]]</f>
        <v>6.7131948185800283</v>
      </c>
      <c r="C15" s="23">
        <f>Listings_Total[[#This Row],[AZ | Phoenix]]/Sales_Closed[[#This Row],[AZ | Phoenix]]</f>
        <v>4.6001792917974003</v>
      </c>
      <c r="D15" s="23">
        <f>Listings_Total[[#This Row],[CA | Inland Empire]]/Sales_Closed[[#This Row],[CA | Inland Empire]]</f>
        <v>5.4563681932102988</v>
      </c>
      <c r="E15" s="23">
        <f>Listings_Total[[#This Row],[CA | Los Angeles]]/Sales_Closed[[#This Row],[CA | Los Angeles]]</f>
        <v>5.8133472367049013</v>
      </c>
      <c r="F15" s="23">
        <f>Listings_Total[[#This Row],[CA | Sacramento]]/Sales_Closed[[#This Row],[CA | Sacramento]]</f>
        <v>5.5108184383819383</v>
      </c>
      <c r="G15" s="23">
        <f>Listings_Total[[#This Row],[CA | San Diego]]/Sales_Closed[[#This Row],[CA | San Diego]]</f>
        <v>5.9421326397919376</v>
      </c>
      <c r="H15" s="23">
        <f>Listings_Total[[#This Row],[CA | San Francisco]]/Sales_Closed[[#This Row],[CA | San Francisco]]</f>
        <v>3.9950805008944545</v>
      </c>
      <c r="I15" s="23">
        <f>Listings_Total[[#This Row],[CA | San Jose]]/Sales_Closed[[#This Row],[CA | San Jose]]</f>
        <v>3.8974358974358974</v>
      </c>
      <c r="J15" s="23">
        <f>Listings_Total[[#This Row],[CA | Ventura]]/Sales_Closed[[#This Row],[CA | Ventura]]</f>
        <v>6.5816554809843399</v>
      </c>
      <c r="K15" s="23">
        <f>Listings_Total[[#This Row],[CO | Denver]]/Sales_Closed[[#This Row],[CO | Denver]]</f>
        <v>6.1757940854326394</v>
      </c>
      <c r="L15" s="23">
        <f>Listings_Total[[#This Row],[DC | Washington]]/Sales_Closed[[#This Row],[DC | Washington]]</f>
        <v>5.382307692307692</v>
      </c>
      <c r="M15" s="23">
        <f>Listings_Total[[#This Row],[IL | Chicago]]/Sales_Closed[[#This Row],[IL | Chicago]]</f>
        <v>12.967938931297709</v>
      </c>
      <c r="N15" s="23">
        <f>Listings_Total[[#This Row],[MA | Boston]]/Sales_Closed[[#This Row],[MA | Boston]]</f>
        <v>10.805286343612336</v>
      </c>
      <c r="O15" s="23">
        <f>Listings_Total[[#This Row],[MD | Baltimore]]/Sales_Closed[[#This Row],[MD | Baltimore]]</f>
        <v>8.1156530408773673</v>
      </c>
      <c r="P15" s="23">
        <f>Listings_Total[[#This Row],[NV | Las Vegas]]/Sales_Closed[[#This Row],[NV | Las Vegas]]</f>
        <v>7.2293512938674231</v>
      </c>
      <c r="Q15" s="23">
        <f>Listings_Total[[#This Row],[NY | Long Island]]/Sales_Closed[[#This Row],[NY | Long Island]]</f>
        <v>15.097202797202797</v>
      </c>
      <c r="R15" s="23">
        <f>Listings_Total[[#This Row],[OR | Portland]]/Sales_Closed[[#This Row],[OR | Portland]]</f>
        <v>7.7339312406576983</v>
      </c>
      <c r="S15" s="23">
        <f>Listings_Total[[#This Row],[PA | Philadelphia]]/Sales_Closed[[#This Row],[PA | Philadelphia]]</f>
        <v>7.4899483055715104</v>
      </c>
      <c r="T15" s="23">
        <f>Listings_Total[[#This Row],[TX | Austin]]/Sales_Closed[[#This Row],[TX | Austin]]</f>
        <v>7.2757318224740324</v>
      </c>
      <c r="U15" s="23">
        <f>Listings_Total[[#This Row],[WA | Seattle]]/Sales_Closed[[#This Row],[WA | Seattle]]</f>
        <v>7.3889156626506027</v>
      </c>
      <c r="V15" s="8"/>
      <c r="W15" s="8"/>
    </row>
    <row r="16" spans="1:23" x14ac:dyDescent="0.25">
      <c r="A16" s="5">
        <v>40603</v>
      </c>
      <c r="B16" s="22">
        <f>Listings_Total[[#This Row],[National]]/Sales_Closed[[#This Row],[National]]</f>
        <v>5.0074730235819214</v>
      </c>
      <c r="C16" s="23">
        <f>Listings_Total[[#This Row],[AZ | Phoenix]]/Sales_Closed[[#This Row],[AZ | Phoenix]]</f>
        <v>2.9998927498927497</v>
      </c>
      <c r="D16" s="23">
        <f>Listings_Total[[#This Row],[CA | Inland Empire]]/Sales_Closed[[#This Row],[CA | Inland Empire]]</f>
        <v>4.060732257504772</v>
      </c>
      <c r="E16" s="23">
        <f>Listings_Total[[#This Row],[CA | Los Angeles]]/Sales_Closed[[#This Row],[CA | Los Angeles]]</f>
        <v>4.1741389548693588</v>
      </c>
      <c r="F16" s="23">
        <f>Listings_Total[[#This Row],[CA | Sacramento]]/Sales_Closed[[#This Row],[CA | Sacramento]]</f>
        <v>3.7792335407795612</v>
      </c>
      <c r="G16" s="23">
        <f>Listings_Total[[#This Row],[CA | San Diego]]/Sales_Closed[[#This Row],[CA | San Diego]]</f>
        <v>4.573044761436301</v>
      </c>
      <c r="H16" s="23">
        <f>Listings_Total[[#This Row],[CA | San Francisco]]/Sales_Closed[[#This Row],[CA | San Francisco]]</f>
        <v>2.9872692552514324</v>
      </c>
      <c r="I16" s="23">
        <f>Listings_Total[[#This Row],[CA | San Jose]]/Sales_Closed[[#This Row],[CA | San Jose]]</f>
        <v>2.6076360682372055</v>
      </c>
      <c r="J16" s="23">
        <f>Listings_Total[[#This Row],[CA | Ventura]]/Sales_Closed[[#This Row],[CA | Ventura]]</f>
        <v>5.6356877323420074</v>
      </c>
      <c r="K16" s="23">
        <f>Listings_Total[[#This Row],[CO | Denver]]/Sales_Closed[[#This Row],[CO | Denver]]</f>
        <v>4.6825842696629216</v>
      </c>
      <c r="L16" s="23">
        <f>Listings_Total[[#This Row],[DC | Washington]]/Sales_Closed[[#This Row],[DC | Washington]]</f>
        <v>4.3982352941176472</v>
      </c>
      <c r="M16" s="23">
        <f>Listings_Total[[#This Row],[IL | Chicago]]/Sales_Closed[[#This Row],[IL | Chicago]]</f>
        <v>9.5454297407912687</v>
      </c>
      <c r="N16" s="23">
        <f>Listings_Total[[#This Row],[MA | Boston]]/Sales_Closed[[#This Row],[MA | Boston]]</f>
        <v>8.4167150319210684</v>
      </c>
      <c r="O16" s="23">
        <f>Listings_Total[[#This Row],[MD | Baltimore]]/Sales_Closed[[#This Row],[MD | Baltimore]]</f>
        <v>6.2641232575201764</v>
      </c>
      <c r="P16" s="23">
        <f>Listings_Total[[#This Row],[NV | Las Vegas]]/Sales_Closed[[#This Row],[NV | Las Vegas]]</f>
        <v>5.4816739606126914</v>
      </c>
      <c r="Q16" s="23">
        <f>Listings_Total[[#This Row],[NY | Long Island]]/Sales_Closed[[#This Row],[NY | Long Island]]</f>
        <v>15.371127224785761</v>
      </c>
      <c r="R16" s="23">
        <f>Listings_Total[[#This Row],[OR | Portland]]/Sales_Closed[[#This Row],[OR | Portland]]</f>
        <v>5.4833421470121628</v>
      </c>
      <c r="S16" s="23">
        <f>Listings_Total[[#This Row],[PA | Philadelphia]]/Sales_Closed[[#This Row],[PA | Philadelphia]]</f>
        <v>6.062630480167015</v>
      </c>
      <c r="T16" s="23">
        <f>Listings_Total[[#This Row],[TX | Austin]]/Sales_Closed[[#This Row],[TX | Austin]]</f>
        <v>5.4300518134715023</v>
      </c>
      <c r="U16" s="23">
        <f>Listings_Total[[#This Row],[WA | Seattle]]/Sales_Closed[[#This Row],[WA | Seattle]]</f>
        <v>5.1776818332779806</v>
      </c>
      <c r="V16" s="8"/>
      <c r="W16" s="8"/>
    </row>
    <row r="17" spans="1:23" x14ac:dyDescent="0.25">
      <c r="A17" s="5">
        <v>40634</v>
      </c>
      <c r="B17" s="22">
        <f>Listings_Total[[#This Row],[National]]/Sales_Closed[[#This Row],[National]]</f>
        <v>5.2144466372098712</v>
      </c>
      <c r="C17" s="23">
        <f>Listings_Total[[#This Row],[AZ | Phoenix]]/Sales_Closed[[#This Row],[AZ | Phoenix]]</f>
        <v>2.842501968725391</v>
      </c>
      <c r="D17" s="23">
        <f>Listings_Total[[#This Row],[CA | Inland Empire]]/Sales_Closed[[#This Row],[CA | Inland Empire]]</f>
        <v>4.2610239162929746</v>
      </c>
      <c r="E17" s="23">
        <f>Listings_Total[[#This Row],[CA | Los Angeles]]/Sales_Closed[[#This Row],[CA | Los Angeles]]</f>
        <v>4.4201538461538465</v>
      </c>
      <c r="F17" s="23">
        <f>Listings_Total[[#This Row],[CA | Sacramento]]/Sales_Closed[[#This Row],[CA | Sacramento]]</f>
        <v>4.3642458100558663</v>
      </c>
      <c r="G17" s="23">
        <f>Listings_Total[[#This Row],[CA | San Diego]]/Sales_Closed[[#This Row],[CA | San Diego]]</f>
        <v>4.4058988764044944</v>
      </c>
      <c r="H17" s="23">
        <f>Listings_Total[[#This Row],[CA | San Francisco]]/Sales_Closed[[#This Row],[CA | San Francisco]]</f>
        <v>3.394572025052192</v>
      </c>
      <c r="I17" s="23">
        <f>Listings_Total[[#This Row],[CA | San Jose]]/Sales_Closed[[#This Row],[CA | San Jose]]</f>
        <v>2.7020766773162941</v>
      </c>
      <c r="J17" s="23">
        <f>Listings_Total[[#This Row],[CA | Ventura]]/Sales_Closed[[#This Row],[CA | Ventura]]</f>
        <v>6.0966469428007892</v>
      </c>
      <c r="K17" s="23">
        <f>Listings_Total[[#This Row],[CO | Denver]]/Sales_Closed[[#This Row],[CO | Denver]]</f>
        <v>4.396506874767744</v>
      </c>
      <c r="L17" s="23">
        <f>Listings_Total[[#This Row],[DC | Washington]]/Sales_Closed[[#This Row],[DC | Washington]]</f>
        <v>4.6473317865429236</v>
      </c>
      <c r="M17" s="23">
        <f>Listings_Total[[#This Row],[IL | Chicago]]/Sales_Closed[[#This Row],[IL | Chicago]]</f>
        <v>9.3834486428951571</v>
      </c>
      <c r="N17" s="23">
        <f>Listings_Total[[#This Row],[MA | Boston]]/Sales_Closed[[#This Row],[MA | Boston]]</f>
        <v>8.6513954713006846</v>
      </c>
      <c r="O17" s="23">
        <f>Listings_Total[[#This Row],[MD | Baltimore]]/Sales_Closed[[#This Row],[MD | Baltimore]]</f>
        <v>6.0137795275590555</v>
      </c>
      <c r="P17" s="23">
        <f>Listings_Total[[#This Row],[NV | Las Vegas]]/Sales_Closed[[#This Row],[NV | Las Vegas]]</f>
        <v>5.9904420549581836</v>
      </c>
      <c r="Q17" s="23">
        <f>Listings_Total[[#This Row],[NY | Long Island]]/Sales_Closed[[#This Row],[NY | Long Island]]</f>
        <v>17.389006342494714</v>
      </c>
      <c r="R17" s="23">
        <f>Listings_Total[[#This Row],[OR | Portland]]/Sales_Closed[[#This Row],[OR | Portland]]</f>
        <v>5.5461333333333336</v>
      </c>
      <c r="S17" s="23">
        <f>Listings_Total[[#This Row],[PA | Philadelphia]]/Sales_Closed[[#This Row],[PA | Philadelphia]]</f>
        <v>6.5084536082474225</v>
      </c>
      <c r="T17" s="23">
        <f>Listings_Total[[#This Row],[TX | Austin]]/Sales_Closed[[#This Row],[TX | Austin]]</f>
        <v>5.4928704277743332</v>
      </c>
      <c r="U17" s="23">
        <f>Listings_Total[[#This Row],[WA | Seattle]]/Sales_Closed[[#This Row],[WA | Seattle]]</f>
        <v>5.198107049608355</v>
      </c>
      <c r="V17" s="8"/>
      <c r="W17" s="8"/>
    </row>
    <row r="18" spans="1:23" x14ac:dyDescent="0.25">
      <c r="A18" s="5">
        <v>40664</v>
      </c>
      <c r="B18" s="22">
        <f>Listings_Total[[#This Row],[National]]/Sales_Closed[[#This Row],[National]]</f>
        <v>5.0917477188408702</v>
      </c>
      <c r="C18" s="23">
        <f>Listings_Total[[#This Row],[AZ | Phoenix]]/Sales_Closed[[#This Row],[AZ | Phoenix]]</f>
        <v>2.4821583044982698</v>
      </c>
      <c r="D18" s="23">
        <f>Listings_Total[[#This Row],[CA | Inland Empire]]/Sales_Closed[[#This Row],[CA | Inland Empire]]</f>
        <v>4.5879009338205439</v>
      </c>
      <c r="E18" s="23">
        <f>Listings_Total[[#This Row],[CA | Los Angeles]]/Sales_Closed[[#This Row],[CA | Los Angeles]]</f>
        <v>4.5722938344463424</v>
      </c>
      <c r="F18" s="23">
        <f>Listings_Total[[#This Row],[CA | Sacramento]]/Sales_Closed[[#This Row],[CA | Sacramento]]</f>
        <v>4.1096133380631432</v>
      </c>
      <c r="G18" s="23">
        <f>Listings_Total[[#This Row],[CA | San Diego]]/Sales_Closed[[#This Row],[CA | San Diego]]</f>
        <v>4.8170974155069581</v>
      </c>
      <c r="H18" s="23">
        <f>Listings_Total[[#This Row],[CA | San Francisco]]/Sales_Closed[[#This Row],[CA | San Francisco]]</f>
        <v>3.1454545454545455</v>
      </c>
      <c r="I18" s="23">
        <f>Listings_Total[[#This Row],[CA | San Jose]]/Sales_Closed[[#This Row],[CA | San Jose]]</f>
        <v>2.9444918872758326</v>
      </c>
      <c r="J18" s="23">
        <f>Listings_Total[[#This Row],[CA | Ventura]]/Sales_Closed[[#This Row],[CA | Ventura]]</f>
        <v>6.1089866156787762</v>
      </c>
      <c r="K18" s="23">
        <f>Listings_Total[[#This Row],[CO | Denver]]/Sales_Closed[[#This Row],[CO | Denver]]</f>
        <v>4.2007722007722004</v>
      </c>
      <c r="L18" s="23">
        <f>Listings_Total[[#This Row],[DC | Washington]]/Sales_Closed[[#This Row],[DC | Washington]]</f>
        <v>4.3766302901250995</v>
      </c>
      <c r="M18" s="23">
        <f>Listings_Total[[#This Row],[IL | Chicago]]/Sales_Closed[[#This Row],[IL | Chicago]]</f>
        <v>8.3434273916035782</v>
      </c>
      <c r="N18" s="23">
        <f>Listings_Total[[#This Row],[MA | Boston]]/Sales_Closed[[#This Row],[MA | Boston]]</f>
        <v>7.8017391304347825</v>
      </c>
      <c r="O18" s="23">
        <f>Listings_Total[[#This Row],[MD | Baltimore]]/Sales_Closed[[#This Row],[MD | Baltimore]]</f>
        <v>6.1860465116279073</v>
      </c>
      <c r="P18" s="23">
        <f>Listings_Total[[#This Row],[NV | Las Vegas]]/Sales_Closed[[#This Row],[NV | Las Vegas]]</f>
        <v>6.0727969348659006</v>
      </c>
      <c r="Q18" s="23">
        <f>Listings_Total[[#This Row],[NY | Long Island]]/Sales_Closed[[#This Row],[NY | Long Island]]</f>
        <v>16.392120075046904</v>
      </c>
      <c r="R18" s="23">
        <f>Listings_Total[[#This Row],[OR | Portland]]/Sales_Closed[[#This Row],[OR | Portland]]</f>
        <v>5.2217327459618206</v>
      </c>
      <c r="S18" s="23">
        <f>Listings_Total[[#This Row],[PA | Philadelphia]]/Sales_Closed[[#This Row],[PA | Philadelphia]]</f>
        <v>6.2050147492625367</v>
      </c>
      <c r="T18" s="23">
        <f>Listings_Total[[#This Row],[TX | Austin]]/Sales_Closed[[#This Row],[TX | Austin]]</f>
        <v>5.0906040268456376</v>
      </c>
      <c r="U18" s="23">
        <f>Listings_Total[[#This Row],[WA | Seattle]]/Sales_Closed[[#This Row],[WA | Seattle]]</f>
        <v>5.0323282561392606</v>
      </c>
      <c r="V18" s="8"/>
      <c r="W18" s="8"/>
    </row>
    <row r="19" spans="1:23" x14ac:dyDescent="0.25">
      <c r="A19" s="5">
        <v>40695</v>
      </c>
      <c r="B19" s="22">
        <f>Listings_Total[[#This Row],[National]]/Sales_Closed[[#This Row],[National]]</f>
        <v>4.6262424242424238</v>
      </c>
      <c r="C19" s="23">
        <f>Listings_Total[[#This Row],[AZ | Phoenix]]/Sales_Closed[[#This Row],[AZ | Phoenix]]</f>
        <v>2.1320052319146794</v>
      </c>
      <c r="D19" s="23">
        <f>Listings_Total[[#This Row],[CA | Inland Empire]]/Sales_Closed[[#This Row],[CA | Inland Empire]]</f>
        <v>3.9373766373586938</v>
      </c>
      <c r="E19" s="23">
        <f>Listings_Total[[#This Row],[CA | Los Angeles]]/Sales_Closed[[#This Row],[CA | Los Angeles]]</f>
        <v>4.4905775075987844</v>
      </c>
      <c r="F19" s="23">
        <f>Listings_Total[[#This Row],[CA | Sacramento]]/Sales_Closed[[#This Row],[CA | Sacramento]]</f>
        <v>3.8758059043094675</v>
      </c>
      <c r="G19" s="23">
        <f>Listings_Total[[#This Row],[CA | San Diego]]/Sales_Closed[[#This Row],[CA | San Diego]]</f>
        <v>4.366429207479964</v>
      </c>
      <c r="H19" s="23">
        <f>Listings_Total[[#This Row],[CA | San Francisco]]/Sales_Closed[[#This Row],[CA | San Francisco]]</f>
        <v>2.8797190517998246</v>
      </c>
      <c r="I19" s="23">
        <f>Listings_Total[[#This Row],[CA | San Jose]]/Sales_Closed[[#This Row],[CA | San Jose]]</f>
        <v>2.6681957186544341</v>
      </c>
      <c r="J19" s="23">
        <f>Listings_Total[[#This Row],[CA | Ventura]]/Sales_Closed[[#This Row],[CA | Ventura]]</f>
        <v>5.612676056338028</v>
      </c>
      <c r="K19" s="23">
        <f>Listings_Total[[#This Row],[CO | Denver]]/Sales_Closed[[#This Row],[CO | Denver]]</f>
        <v>4.0380343318747896</v>
      </c>
      <c r="L19" s="23">
        <f>Listings_Total[[#This Row],[DC | Washington]]/Sales_Closed[[#This Row],[DC | Washington]]</f>
        <v>3.5793944674362885</v>
      </c>
      <c r="M19" s="23">
        <f>Listings_Total[[#This Row],[IL | Chicago]]/Sales_Closed[[#This Row],[IL | Chicago]]</f>
        <v>7.4277084172372128</v>
      </c>
      <c r="N19" s="23">
        <f>Listings_Total[[#This Row],[MA | Boston]]/Sales_Closed[[#This Row],[MA | Boston]]</f>
        <v>6.3348122866894201</v>
      </c>
      <c r="O19" s="23">
        <f>Listings_Total[[#This Row],[MD | Baltimore]]/Sales_Closed[[#This Row],[MD | Baltimore]]</f>
        <v>5.1832432432432434</v>
      </c>
      <c r="P19" s="23">
        <f>Listings_Total[[#This Row],[NV | Las Vegas]]/Sales_Closed[[#This Row],[NV | Las Vegas]]</f>
        <v>6.937688442211055</v>
      </c>
      <c r="Q19" s="23">
        <f>Listings_Total[[#This Row],[NY | Long Island]]/Sales_Closed[[#This Row],[NY | Long Island]]</f>
        <v>13.783880903490759</v>
      </c>
      <c r="R19" s="23">
        <f>Listings_Total[[#This Row],[OR | Portland]]/Sales_Closed[[#This Row],[OR | Portland]]</f>
        <v>4.7682441397611672</v>
      </c>
      <c r="S19" s="23">
        <f>Listings_Total[[#This Row],[PA | Philadelphia]]/Sales_Closed[[#This Row],[PA | Philadelphia]]</f>
        <v>5.3190184049079754</v>
      </c>
      <c r="T19" s="23">
        <f>Listings_Total[[#This Row],[TX | Austin]]/Sales_Closed[[#This Row],[TX | Austin]]</f>
        <v>4.6867040244523688</v>
      </c>
      <c r="U19" s="23">
        <f>Listings_Total[[#This Row],[WA | Seattle]]/Sales_Closed[[#This Row],[WA | Seattle]]</f>
        <v>4.478496077901001</v>
      </c>
      <c r="V19" s="8"/>
      <c r="W19" s="8"/>
    </row>
    <row r="20" spans="1:23" x14ac:dyDescent="0.25">
      <c r="A20" s="5">
        <v>40725</v>
      </c>
      <c r="B20" s="22">
        <f>Listings_Total[[#This Row],[National]]/Sales_Closed[[#This Row],[National]]</f>
        <v>5.0510193697208186</v>
      </c>
      <c r="C20" s="23">
        <f>Listings_Total[[#This Row],[AZ | Phoenix]]/Sales_Closed[[#This Row],[AZ | Phoenix]]</f>
        <v>2.389623103279491</v>
      </c>
      <c r="D20" s="23">
        <f>Listings_Total[[#This Row],[CA | Inland Empire]]/Sales_Closed[[#This Row],[CA | Inland Empire]]</f>
        <v>4.0638297872340425</v>
      </c>
      <c r="E20" s="23">
        <f>Listings_Total[[#This Row],[CA | Los Angeles]]/Sales_Closed[[#This Row],[CA | Los Angeles]]</f>
        <v>4.5639507711481535</v>
      </c>
      <c r="F20" s="23">
        <f>Listings_Total[[#This Row],[CA | Sacramento]]/Sales_Closed[[#This Row],[CA | Sacramento]]</f>
        <v>4.1749260355029589</v>
      </c>
      <c r="G20" s="23">
        <f>Listings_Total[[#This Row],[CA | San Diego]]/Sales_Closed[[#This Row],[CA | San Diego]]</f>
        <v>4.7464373464373466</v>
      </c>
      <c r="H20" s="23">
        <f>Listings_Total[[#This Row],[CA | San Francisco]]/Sales_Closed[[#This Row],[CA | San Francisco]]</f>
        <v>3.083550065019506</v>
      </c>
      <c r="I20" s="23">
        <f>Listings_Total[[#This Row],[CA | San Jose]]/Sales_Closed[[#This Row],[CA | San Jose]]</f>
        <v>2.9656084656084656</v>
      </c>
      <c r="J20" s="23">
        <f>Listings_Total[[#This Row],[CA | Ventura]]/Sales_Closed[[#This Row],[CA | Ventura]]</f>
        <v>5.416812609457093</v>
      </c>
      <c r="K20" s="23">
        <f>Listings_Total[[#This Row],[CO | Denver]]/Sales_Closed[[#This Row],[CO | Denver]]</f>
        <v>4.3342017119464087</v>
      </c>
      <c r="L20" s="23">
        <f>Listings_Total[[#This Row],[DC | Washington]]/Sales_Closed[[#This Row],[DC | Washington]]</f>
        <v>4.2361662695260787</v>
      </c>
      <c r="M20" s="23">
        <f>Listings_Total[[#This Row],[IL | Chicago]]/Sales_Closed[[#This Row],[IL | Chicago]]</f>
        <v>8.481369352585002</v>
      </c>
      <c r="N20" s="23">
        <f>Listings_Total[[#This Row],[MA | Boston]]/Sales_Closed[[#This Row],[MA | Boston]]</f>
        <v>7.3051124744376281</v>
      </c>
      <c r="O20" s="23">
        <f>Listings_Total[[#This Row],[MD | Baltimore]]/Sales_Closed[[#This Row],[MD | Baltimore]]</f>
        <v>6.5693481276005548</v>
      </c>
      <c r="P20" s="23">
        <f>Listings_Total[[#This Row],[NV | Las Vegas]]/Sales_Closed[[#This Row],[NV | Las Vegas]]</f>
        <v>6.1098074608904938</v>
      </c>
      <c r="Q20" s="23">
        <f>Listings_Total[[#This Row],[NY | Long Island]]/Sales_Closed[[#This Row],[NY | Long Island]]</f>
        <v>14.80581980973699</v>
      </c>
      <c r="R20" s="23">
        <f>Listings_Total[[#This Row],[OR | Portland]]/Sales_Closed[[#This Row],[OR | Portland]]</f>
        <v>5.315632754342432</v>
      </c>
      <c r="S20" s="23">
        <f>Listings_Total[[#This Row],[PA | Philadelphia]]/Sales_Closed[[#This Row],[PA | Philadelphia]]</f>
        <v>5.8530626290433583</v>
      </c>
      <c r="T20" s="23">
        <f>Listings_Total[[#This Row],[TX | Austin]]/Sales_Closed[[#This Row],[TX | Austin]]</f>
        <v>4.9341814159292037</v>
      </c>
      <c r="U20" s="23">
        <f>Listings_Total[[#This Row],[WA | Seattle]]/Sales_Closed[[#This Row],[WA | Seattle]]</f>
        <v>5.0964912280701755</v>
      </c>
      <c r="V20" s="8"/>
      <c r="W20" s="8"/>
    </row>
    <row r="21" spans="1:23" x14ac:dyDescent="0.25">
      <c r="A21" s="5">
        <v>40756</v>
      </c>
      <c r="B21" s="22">
        <f>Listings_Total[[#This Row],[National]]/Sales_Closed[[#This Row],[National]]</f>
        <v>4.6184429016494555</v>
      </c>
      <c r="C21" s="23">
        <f>Listings_Total[[#This Row],[AZ | Phoenix]]/Sales_Closed[[#This Row],[AZ | Phoenix]]</f>
        <v>2.191808074897601</v>
      </c>
      <c r="D21" s="23">
        <f>Listings_Total[[#This Row],[CA | Inland Empire]]/Sales_Closed[[#This Row],[CA | Inland Empire]]</f>
        <v>3.7116749467707595</v>
      </c>
      <c r="E21" s="23">
        <f>Listings_Total[[#This Row],[CA | Los Angeles]]/Sales_Closed[[#This Row],[CA | Los Angeles]]</f>
        <v>4.2110914974992646</v>
      </c>
      <c r="F21" s="23">
        <f>Listings_Total[[#This Row],[CA | Sacramento]]/Sales_Closed[[#This Row],[CA | Sacramento]]</f>
        <v>3.7642881298613458</v>
      </c>
      <c r="G21" s="23">
        <f>Listings_Total[[#This Row],[CA | San Diego]]/Sales_Closed[[#This Row],[CA | San Diego]]</f>
        <v>4.5342333654773386</v>
      </c>
      <c r="H21" s="23">
        <f>Listings_Total[[#This Row],[CA | San Francisco]]/Sales_Closed[[#This Row],[CA | San Francisco]]</f>
        <v>2.7747336377473362</v>
      </c>
      <c r="I21" s="23">
        <f>Listings_Total[[#This Row],[CA | San Jose]]/Sales_Closed[[#This Row],[CA | San Jose]]</f>
        <v>2.6414634146341465</v>
      </c>
      <c r="J21" s="23">
        <f>Listings_Total[[#This Row],[CA | Ventura]]/Sales_Closed[[#This Row],[CA | Ventura]]</f>
        <v>5.3575221238938049</v>
      </c>
      <c r="K21" s="23">
        <f>Listings_Total[[#This Row],[CO | Denver]]/Sales_Closed[[#This Row],[CO | Denver]]</f>
        <v>3.9943141435678751</v>
      </c>
      <c r="L21" s="23">
        <f>Listings_Total[[#This Row],[DC | Washington]]/Sales_Closed[[#This Row],[DC | Washington]]</f>
        <v>4.1668003207698474</v>
      </c>
      <c r="M21" s="23">
        <f>Listings_Total[[#This Row],[IL | Chicago]]/Sales_Closed[[#This Row],[IL | Chicago]]</f>
        <v>7.653121693121693</v>
      </c>
      <c r="N21" s="23">
        <f>Listings_Total[[#This Row],[MA | Boston]]/Sales_Closed[[#This Row],[MA | Boston]]</f>
        <v>6.5568862275449105</v>
      </c>
      <c r="O21" s="23">
        <f>Listings_Total[[#This Row],[MD | Baltimore]]/Sales_Closed[[#This Row],[MD | Baltimore]]</f>
        <v>5.8907936507936505</v>
      </c>
      <c r="P21" s="23">
        <f>Listings_Total[[#This Row],[NV | Las Vegas]]/Sales_Closed[[#This Row],[NV | Las Vegas]]</f>
        <v>5.2404413651526811</v>
      </c>
      <c r="Q21" s="23">
        <f>Listings_Total[[#This Row],[NY | Long Island]]/Sales_Closed[[#This Row],[NY | Long Island]]</f>
        <v>12.460827250608272</v>
      </c>
      <c r="R21" s="23">
        <f>Listings_Total[[#This Row],[OR | Portland]]/Sales_Closed[[#This Row],[OR | Portland]]</f>
        <v>4.9129603060736491</v>
      </c>
      <c r="S21" s="23">
        <f>Listings_Total[[#This Row],[PA | Philadelphia]]/Sales_Closed[[#This Row],[PA | Philadelphia]]</f>
        <v>5.3594139650872821</v>
      </c>
      <c r="T21" s="23">
        <f>Listings_Total[[#This Row],[TX | Austin]]/Sales_Closed[[#This Row],[TX | Austin]]</f>
        <v>4.6273122959738844</v>
      </c>
      <c r="U21" s="23">
        <f>Listings_Total[[#This Row],[WA | Seattle]]/Sales_Closed[[#This Row],[WA | Seattle]]</f>
        <v>4.5506095832151967</v>
      </c>
      <c r="V21" s="8"/>
      <c r="W21" s="8"/>
    </row>
    <row r="22" spans="1:23" x14ac:dyDescent="0.25">
      <c r="A22" s="5">
        <v>40787</v>
      </c>
      <c r="B22" s="22">
        <f>Listings_Total[[#This Row],[National]]/Sales_Closed[[#This Row],[National]]</f>
        <v>5.1055856495870708</v>
      </c>
      <c r="C22" s="23">
        <f>Listings_Total[[#This Row],[AZ | Phoenix]]/Sales_Closed[[#This Row],[AZ | Phoenix]]</f>
        <v>2.3865556978233036</v>
      </c>
      <c r="D22" s="23">
        <f>Listings_Total[[#This Row],[CA | Inland Empire]]/Sales_Closed[[#This Row],[CA | Inland Empire]]</f>
        <v>4.0658074594805704</v>
      </c>
      <c r="E22" s="23">
        <f>Listings_Total[[#This Row],[CA | Los Angeles]]/Sales_Closed[[#This Row],[CA | Los Angeles]]</f>
        <v>4.2334489518926253</v>
      </c>
      <c r="F22" s="23">
        <f>Listings_Total[[#This Row],[CA | Sacramento]]/Sales_Closed[[#This Row],[CA | Sacramento]]</f>
        <v>3.8970325348587771</v>
      </c>
      <c r="G22" s="23">
        <f>Listings_Total[[#This Row],[CA | San Diego]]/Sales_Closed[[#This Row],[CA | San Diego]]</f>
        <v>4.3910068426197455</v>
      </c>
      <c r="H22" s="23">
        <f>Listings_Total[[#This Row],[CA | San Francisco]]/Sales_Closed[[#This Row],[CA | San Francisco]]</f>
        <v>3.1377762430939224</v>
      </c>
      <c r="I22" s="23">
        <f>Listings_Total[[#This Row],[CA | San Jose]]/Sales_Closed[[#This Row],[CA | San Jose]]</f>
        <v>2.8906394810009268</v>
      </c>
      <c r="J22" s="23">
        <f>Listings_Total[[#This Row],[CA | Ventura]]/Sales_Closed[[#This Row],[CA | Ventura]]</f>
        <v>4.9547826086956519</v>
      </c>
      <c r="K22" s="23">
        <f>Listings_Total[[#This Row],[CO | Denver]]/Sales_Closed[[#This Row],[CO | Denver]]</f>
        <v>4.3884536082474224</v>
      </c>
      <c r="L22" s="23">
        <f>Listings_Total[[#This Row],[DC | Washington]]/Sales_Closed[[#This Row],[DC | Washington]]</f>
        <v>5.0025789813023858</v>
      </c>
      <c r="M22" s="23">
        <f>Listings_Total[[#This Row],[IL | Chicago]]/Sales_Closed[[#This Row],[IL | Chicago]]</f>
        <v>8.8722499999999993</v>
      </c>
      <c r="N22" s="23">
        <f>Listings_Total[[#This Row],[MA | Boston]]/Sales_Closed[[#This Row],[MA | Boston]]</f>
        <v>8.2572906867356544</v>
      </c>
      <c r="O22" s="23">
        <f>Listings_Total[[#This Row],[MD | Baltimore]]/Sales_Closed[[#This Row],[MD | Baltimore]]</f>
        <v>6.180517711171662</v>
      </c>
      <c r="P22" s="23">
        <f>Listings_Total[[#This Row],[NV | Las Vegas]]/Sales_Closed[[#This Row],[NV | Las Vegas]]</f>
        <v>5.9249852333136444</v>
      </c>
      <c r="Q22" s="23">
        <f>Listings_Total[[#This Row],[NY | Long Island]]/Sales_Closed[[#This Row],[NY | Long Island]]</f>
        <v>14.192853091321611</v>
      </c>
      <c r="R22" s="23">
        <f>Listings_Total[[#This Row],[OR | Portland]]/Sales_Closed[[#This Row],[OR | Portland]]</f>
        <v>5.2206349206349207</v>
      </c>
      <c r="S22" s="23">
        <f>Listings_Total[[#This Row],[PA | Philadelphia]]/Sales_Closed[[#This Row],[PA | Philadelphia]]</f>
        <v>7.1980158730158728</v>
      </c>
      <c r="T22" s="23">
        <f>Listings_Total[[#This Row],[TX | Austin]]/Sales_Closed[[#This Row],[TX | Austin]]</f>
        <v>5.3393453573814291</v>
      </c>
      <c r="U22" s="23">
        <f>Listings_Total[[#This Row],[WA | Seattle]]/Sales_Closed[[#This Row],[WA | Seattle]]</f>
        <v>4.928774030885597</v>
      </c>
      <c r="V22" s="8"/>
      <c r="W22" s="8"/>
    </row>
    <row r="23" spans="1:23" x14ac:dyDescent="0.25">
      <c r="A23" s="5">
        <v>40817</v>
      </c>
      <c r="B23" s="22">
        <f>Listings_Total[[#This Row],[National]]/Sales_Closed[[#This Row],[National]]</f>
        <v>5.3314469403861331</v>
      </c>
      <c r="C23" s="23">
        <f>Listings_Total[[#This Row],[AZ | Phoenix]]/Sales_Closed[[#This Row],[AZ | Phoenix]]</f>
        <v>2.5762107284949924</v>
      </c>
      <c r="D23" s="23">
        <f>Listings_Total[[#This Row],[CA | Inland Empire]]/Sales_Closed[[#This Row],[CA | Inland Empire]]</f>
        <v>4.2304655029093929</v>
      </c>
      <c r="E23" s="23">
        <f>Listings_Total[[#This Row],[CA | Los Angeles]]/Sales_Closed[[#This Row],[CA | Los Angeles]]</f>
        <v>4.4833781061114841</v>
      </c>
      <c r="F23" s="23">
        <f>Listings_Total[[#This Row],[CA | Sacramento]]/Sales_Closed[[#This Row],[CA | Sacramento]]</f>
        <v>3.9533483822422872</v>
      </c>
      <c r="G23" s="23">
        <f>Listings_Total[[#This Row],[CA | San Diego]]/Sales_Closed[[#This Row],[CA | San Diego]]</f>
        <v>4.8484507042253524</v>
      </c>
      <c r="H23" s="23">
        <f>Listings_Total[[#This Row],[CA | San Francisco]]/Sales_Closed[[#This Row],[CA | San Francisco]]</f>
        <v>3.0836940836940836</v>
      </c>
      <c r="I23" s="23">
        <f>Listings_Total[[#This Row],[CA | San Jose]]/Sales_Closed[[#This Row],[CA | San Jose]]</f>
        <v>2.9272183449651048</v>
      </c>
      <c r="J23" s="23">
        <f>Listings_Total[[#This Row],[CA | Ventura]]/Sales_Closed[[#This Row],[CA | Ventura]]</f>
        <v>5.2891089108910894</v>
      </c>
      <c r="K23" s="23">
        <f>Listings_Total[[#This Row],[CO | Denver]]/Sales_Closed[[#This Row],[CO | Denver]]</f>
        <v>4.232366940718304</v>
      </c>
      <c r="L23" s="23">
        <f>Listings_Total[[#This Row],[DC | Washington]]/Sales_Closed[[#This Row],[DC | Washington]]</f>
        <v>5.3156363636363633</v>
      </c>
      <c r="M23" s="23">
        <f>Listings_Total[[#This Row],[IL | Chicago]]/Sales_Closed[[#This Row],[IL | Chicago]]</f>
        <v>8.8851030110935021</v>
      </c>
      <c r="N23" s="23">
        <f>Listings_Total[[#This Row],[MA | Boston]]/Sales_Closed[[#This Row],[MA | Boston]]</f>
        <v>9.3536853685368531</v>
      </c>
      <c r="O23" s="23">
        <f>Listings_Total[[#This Row],[MD | Baltimore]]/Sales_Closed[[#This Row],[MD | Baltimore]]</f>
        <v>7.0162337662337659</v>
      </c>
      <c r="P23" s="23">
        <f>Listings_Total[[#This Row],[NV | Las Vegas]]/Sales_Closed[[#This Row],[NV | Las Vegas]]</f>
        <v>6.0799262219489698</v>
      </c>
      <c r="Q23" s="23">
        <f>Listings_Total[[#This Row],[NY | Long Island]]/Sales_Closed[[#This Row],[NY | Long Island]]</f>
        <v>15.154231974921631</v>
      </c>
      <c r="R23" s="23">
        <f>Listings_Total[[#This Row],[OR | Portland]]/Sales_Closed[[#This Row],[OR | Portland]]</f>
        <v>5.4052478134110791</v>
      </c>
      <c r="S23" s="23">
        <f>Listings_Total[[#This Row],[PA | Philadelphia]]/Sales_Closed[[#This Row],[PA | Philadelphia]]</f>
        <v>7.7892320534223707</v>
      </c>
      <c r="T23" s="23">
        <f>Listings_Total[[#This Row],[TX | Austin]]/Sales_Closed[[#This Row],[TX | Austin]]</f>
        <v>5.7750573833205818</v>
      </c>
      <c r="U23" s="23">
        <f>Listings_Total[[#This Row],[WA | Seattle]]/Sales_Closed[[#This Row],[WA | Seattle]]</f>
        <v>4.8873426110006628</v>
      </c>
      <c r="V23" s="8"/>
      <c r="W23" s="8"/>
    </row>
    <row r="24" spans="1:23" x14ac:dyDescent="0.25">
      <c r="A24" s="5">
        <v>40848</v>
      </c>
      <c r="B24" s="22">
        <f>Listings_Total[[#This Row],[National]]/Sales_Closed[[#This Row],[National]]</f>
        <v>5.2331022357195662</v>
      </c>
      <c r="C24" s="23">
        <f>Listings_Total[[#This Row],[AZ | Phoenix]]/Sales_Closed[[#This Row],[AZ | Phoenix]]</f>
        <v>2.6657454545454544</v>
      </c>
      <c r="D24" s="23">
        <f>Listings_Total[[#This Row],[CA | Inland Empire]]/Sales_Closed[[#This Row],[CA | Inland Empire]]</f>
        <v>4.2094895149332769</v>
      </c>
      <c r="E24" s="23">
        <f>Listings_Total[[#This Row],[CA | Los Angeles]]/Sales_Closed[[#This Row],[CA | Los Angeles]]</f>
        <v>4.2518094596869211</v>
      </c>
      <c r="F24" s="23">
        <f>Listings_Total[[#This Row],[CA | Sacramento]]/Sales_Closed[[#This Row],[CA | Sacramento]]</f>
        <v>5.3076517150395777</v>
      </c>
      <c r="G24" s="23">
        <f>Listings_Total[[#This Row],[CA | San Diego]]/Sales_Closed[[#This Row],[CA | San Diego]]</f>
        <v>4.4196576477084486</v>
      </c>
      <c r="H24" s="23">
        <f>Listings_Total[[#This Row],[CA | San Francisco]]/Sales_Closed[[#This Row],[CA | San Francisco]]</f>
        <v>2.7064981949458482</v>
      </c>
      <c r="I24" s="23">
        <f>Listings_Total[[#This Row],[CA | San Jose]]/Sales_Closed[[#This Row],[CA | San Jose]]</f>
        <v>2.4837758112094397</v>
      </c>
      <c r="J24" s="23">
        <f>Listings_Total[[#This Row],[CA | Ventura]]/Sales_Closed[[#This Row],[CA | Ventura]]</f>
        <v>5.2533039647577091</v>
      </c>
      <c r="K24" s="23">
        <f>Listings_Total[[#This Row],[CO | Denver]]/Sales_Closed[[#This Row],[CO | Denver]]</f>
        <v>3.9908382959230417</v>
      </c>
      <c r="L24" s="23">
        <f>Listings_Total[[#This Row],[DC | Washington]]/Sales_Closed[[#This Row],[DC | Washington]]</f>
        <v>4.8084496956677407</v>
      </c>
      <c r="M24" s="23">
        <f>Listings_Total[[#This Row],[IL | Chicago]]/Sales_Closed[[#This Row],[IL | Chicago]]</f>
        <v>8.8839360807401171</v>
      </c>
      <c r="N24" s="23">
        <f>Listings_Total[[#This Row],[MA | Boston]]/Sales_Closed[[#This Row],[MA | Boston]]</f>
        <v>8.3320734341252702</v>
      </c>
      <c r="O24" s="23">
        <f>Listings_Total[[#This Row],[MD | Baltimore]]/Sales_Closed[[#This Row],[MD | Baltimore]]</f>
        <v>6.3394863563402888</v>
      </c>
      <c r="P24" s="23">
        <f>Listings_Total[[#This Row],[NV | Las Vegas]]/Sales_Closed[[#This Row],[NV | Las Vegas]]</f>
        <v>5.8142208774583963</v>
      </c>
      <c r="Q24" s="23">
        <f>Listings_Total[[#This Row],[NY | Long Island]]/Sales_Closed[[#This Row],[NY | Long Island]]</f>
        <v>15.232249502322494</v>
      </c>
      <c r="R24" s="23">
        <f>Listings_Total[[#This Row],[OR | Portland]]/Sales_Closed[[#This Row],[OR | Portland]]</f>
        <v>5.0415704387990763</v>
      </c>
      <c r="S24" s="23">
        <f>Listings_Total[[#This Row],[PA | Philadelphia]]/Sales_Closed[[#This Row],[PA | Philadelphia]]</f>
        <v>8.4430823117338001</v>
      </c>
      <c r="T24" s="23">
        <f>Listings_Total[[#This Row],[TX | Austin]]/Sales_Closed[[#This Row],[TX | Austin]]</f>
        <v>5.55252606255012</v>
      </c>
      <c r="U24" s="23">
        <f>Listings_Total[[#This Row],[WA | Seattle]]/Sales_Closed[[#This Row],[WA | Seattle]]</f>
        <v>4.8123465450719047</v>
      </c>
      <c r="V24" s="8"/>
      <c r="W24" s="8"/>
    </row>
    <row r="25" spans="1:23" x14ac:dyDescent="0.25">
      <c r="A25" s="5">
        <v>40878</v>
      </c>
      <c r="B25" s="22">
        <f>Listings_Total[[#This Row],[National]]/Sales_Closed[[#This Row],[National]]</f>
        <v>4.4570574228916326</v>
      </c>
      <c r="C25" s="23">
        <f>Listings_Total[[#This Row],[AZ | Phoenix]]/Sales_Closed[[#This Row],[AZ | Phoenix]]</f>
        <v>2.2679388315252909</v>
      </c>
      <c r="D25" s="23">
        <f>Listings_Total[[#This Row],[CA | Inland Empire]]/Sales_Closed[[#This Row],[CA | Inland Empire]]</f>
        <v>3.5405405405405403</v>
      </c>
      <c r="E25" s="23">
        <f>Listings_Total[[#This Row],[CA | Los Angeles]]/Sales_Closed[[#This Row],[CA | Los Angeles]]</f>
        <v>3.5354002776492366</v>
      </c>
      <c r="F25" s="23">
        <f>Listings_Total[[#This Row],[CA | Sacramento]]/Sales_Closed[[#This Row],[CA | Sacramento]]</f>
        <v>4.2662667281956619</v>
      </c>
      <c r="G25" s="23">
        <f>Listings_Total[[#This Row],[CA | San Diego]]/Sales_Closed[[#This Row],[CA | San Diego]]</f>
        <v>3.2941176470588234</v>
      </c>
      <c r="H25" s="23">
        <f>Listings_Total[[#This Row],[CA | San Francisco]]/Sales_Closed[[#This Row],[CA | San Francisco]]</f>
        <v>2.0946905647615828</v>
      </c>
      <c r="I25" s="23">
        <f>Listings_Total[[#This Row],[CA | San Jose]]/Sales_Closed[[#This Row],[CA | San Jose]]</f>
        <v>1.8775322283609577</v>
      </c>
      <c r="J25" s="23">
        <f>Listings_Total[[#This Row],[CA | Ventura]]/Sales_Closed[[#This Row],[CA | Ventura]]</f>
        <v>3.8372943327239488</v>
      </c>
      <c r="K25" s="23">
        <f>Listings_Total[[#This Row],[CO | Denver]]/Sales_Closed[[#This Row],[CO | Denver]]</f>
        <v>3.6654082114204813</v>
      </c>
      <c r="L25" s="23">
        <f>Listings_Total[[#This Row],[DC | Washington]]/Sales_Closed[[#This Row],[DC | Washington]]</f>
        <v>4.1469275660830762</v>
      </c>
      <c r="M25" s="23">
        <f>Listings_Total[[#This Row],[IL | Chicago]]/Sales_Closed[[#This Row],[IL | Chicago]]</f>
        <v>7.6389029964448962</v>
      </c>
      <c r="N25" s="23">
        <f>Listings_Total[[#This Row],[MA | Boston]]/Sales_Closed[[#This Row],[MA | Boston]]</f>
        <v>6.6284565108094524</v>
      </c>
      <c r="O25" s="23">
        <f>Listings_Total[[#This Row],[MD | Baltimore]]/Sales_Closed[[#This Row],[MD | Baltimore]]</f>
        <v>5.7005516154452325</v>
      </c>
      <c r="P25" s="23">
        <f>Listings_Total[[#This Row],[NV | Las Vegas]]/Sales_Closed[[#This Row],[NV | Las Vegas]]</f>
        <v>5.0047672462142456</v>
      </c>
      <c r="Q25" s="23">
        <f>Listings_Total[[#This Row],[NY | Long Island]]/Sales_Closed[[#This Row],[NY | Long Island]]</f>
        <v>13.004326328800989</v>
      </c>
      <c r="R25" s="23">
        <f>Listings_Total[[#This Row],[OR | Portland]]/Sales_Closed[[#This Row],[OR | Portland]]</f>
        <v>4.6570477247502771</v>
      </c>
      <c r="S25" s="23">
        <f>Listings_Total[[#This Row],[PA | Philadelphia]]/Sales_Closed[[#This Row],[PA | Philadelphia]]</f>
        <v>8.5920818505338072</v>
      </c>
      <c r="T25" s="23">
        <f>Listings_Total[[#This Row],[TX | Austin]]/Sales_Closed[[#This Row],[TX | Austin]]</f>
        <v>4.4619718309859158</v>
      </c>
      <c r="U25" s="23">
        <f>Listings_Total[[#This Row],[WA | Seattle]]/Sales_Closed[[#This Row],[WA | Seattle]]</f>
        <v>4.225513295186806</v>
      </c>
      <c r="V25" s="8"/>
      <c r="W25" s="8"/>
    </row>
    <row r="26" spans="1:23" x14ac:dyDescent="0.25">
      <c r="A26" s="5">
        <v>40909</v>
      </c>
      <c r="B26" s="22">
        <f>Listings_Total[[#This Row],[National]]/Sales_Closed[[#This Row],[National]]</f>
        <v>5.6937387855321564</v>
      </c>
      <c r="C26" s="23">
        <f>Listings_Total[[#This Row],[AZ | Phoenix]]/Sales_Closed[[#This Row],[AZ | Phoenix]]</f>
        <v>2.6908251035361581</v>
      </c>
      <c r="D26" s="23">
        <f>Listings_Total[[#This Row],[CA | Inland Empire]]/Sales_Closed[[#This Row],[CA | Inland Empire]]</f>
        <v>4.4218121599242961</v>
      </c>
      <c r="E26" s="23">
        <f>Listings_Total[[#This Row],[CA | Los Angeles]]/Sales_Closed[[#This Row],[CA | Los Angeles]]</f>
        <v>4.6496789727126808</v>
      </c>
      <c r="F26" s="23">
        <f>Listings_Total[[#This Row],[CA | Sacramento]]/Sales_Closed[[#This Row],[CA | Sacramento]]</f>
        <v>4.4053794428434196</v>
      </c>
      <c r="G26" s="23">
        <f>Listings_Total[[#This Row],[CA | San Diego]]/Sales_Closed[[#This Row],[CA | San Diego]]</f>
        <v>4.4968030690537084</v>
      </c>
      <c r="H26" s="23">
        <f>Listings_Total[[#This Row],[CA | San Francisco]]/Sales_Closed[[#This Row],[CA | San Francisco]]</f>
        <v>2.7743499338915822</v>
      </c>
      <c r="I26" s="23">
        <f>Listings_Total[[#This Row],[CA | San Jose]]/Sales_Closed[[#This Row],[CA | San Jose]]</f>
        <v>2.4557260920897286</v>
      </c>
      <c r="J26" s="23">
        <f>Listings_Total[[#This Row],[CA | Ventura]]/Sales_Closed[[#This Row],[CA | Ventura]]</f>
        <v>5.0920096852300238</v>
      </c>
      <c r="K26" s="23">
        <f>Listings_Total[[#This Row],[CO | Denver]]/Sales_Closed[[#This Row],[CO | Denver]]</f>
        <v>4.7133878064110624</v>
      </c>
      <c r="L26" s="23">
        <f>Listings_Total[[#This Row],[DC | Washington]]/Sales_Closed[[#This Row],[DC | Washington]]</f>
        <v>5.097142857142857</v>
      </c>
      <c r="M26" s="23">
        <f>Listings_Total[[#This Row],[IL | Chicago]]/Sales_Closed[[#This Row],[IL | Chicago]]</f>
        <v>10.354783207157604</v>
      </c>
      <c r="N26" s="23">
        <f>Listings_Total[[#This Row],[MA | Boston]]/Sales_Closed[[#This Row],[MA | Boston]]</f>
        <v>9.2281226626776363</v>
      </c>
      <c r="O26" s="23">
        <f>Listings_Total[[#This Row],[MD | Baltimore]]/Sales_Closed[[#This Row],[MD | Baltimore]]</f>
        <v>6.6685660018993351</v>
      </c>
      <c r="P26" s="23">
        <f>Listings_Total[[#This Row],[NV | Las Vegas]]/Sales_Closed[[#This Row],[NV | Las Vegas]]</f>
        <v>5.9441658308258107</v>
      </c>
      <c r="Q26" s="23">
        <f>Listings_Total[[#This Row],[NY | Long Island]]/Sales_Closed[[#This Row],[NY | Long Island]]</f>
        <v>15.268925739005047</v>
      </c>
      <c r="R26" s="23">
        <f>Listings_Total[[#This Row],[OR | Portland]]/Sales_Closed[[#This Row],[OR | Portland]]</f>
        <v>6.0538965768390387</v>
      </c>
      <c r="S26" s="23">
        <f>Listings_Total[[#This Row],[PA | Philadelphia]]/Sales_Closed[[#This Row],[PA | Philadelphia]]</f>
        <v>11.76141304347826</v>
      </c>
      <c r="T26" s="23">
        <f>Listings_Total[[#This Row],[TX | Austin]]/Sales_Closed[[#This Row],[TX | Austin]]</f>
        <v>6.5079030558482609</v>
      </c>
      <c r="U26" s="23">
        <f>Listings_Total[[#This Row],[WA | Seattle]]/Sales_Closed[[#This Row],[WA | Seattle]]</f>
        <v>6.0758793969849245</v>
      </c>
      <c r="V26" s="8"/>
      <c r="W26" s="8"/>
    </row>
    <row r="27" spans="1:23" x14ac:dyDescent="0.25">
      <c r="A27" s="5">
        <v>40940</v>
      </c>
      <c r="B27" s="22">
        <f>Listings_Total[[#This Row],[National]]/Sales_Closed[[#This Row],[National]]</f>
        <v>5.0983386008371063</v>
      </c>
      <c r="C27" s="23">
        <f>Listings_Total[[#This Row],[AZ | Phoenix]]/Sales_Closed[[#This Row],[AZ | Phoenix]]</f>
        <v>2.2154065620542083</v>
      </c>
      <c r="D27" s="23">
        <f>Listings_Total[[#This Row],[CA | Inland Empire]]/Sales_Closed[[#This Row],[CA | Inland Empire]]</f>
        <v>3.9405609973285842</v>
      </c>
      <c r="E27" s="23">
        <f>Listings_Total[[#This Row],[CA | Los Angeles]]/Sales_Closed[[#This Row],[CA | Los Angeles]]</f>
        <v>4.1691533010070865</v>
      </c>
      <c r="F27" s="23">
        <f>Listings_Total[[#This Row],[CA | Sacramento]]/Sales_Closed[[#This Row],[CA | Sacramento]]</f>
        <v>3.6636734693877551</v>
      </c>
      <c r="G27" s="23">
        <f>Listings_Total[[#This Row],[CA | San Diego]]/Sales_Closed[[#This Row],[CA | San Diego]]</f>
        <v>3.8989667049368544</v>
      </c>
      <c r="H27" s="23">
        <f>Listings_Total[[#This Row],[CA | San Francisco]]/Sales_Closed[[#This Row],[CA | San Francisco]]</f>
        <v>2.361743912018853</v>
      </c>
      <c r="I27" s="23">
        <f>Listings_Total[[#This Row],[CA | San Jose]]/Sales_Closed[[#This Row],[CA | San Jose]]</f>
        <v>2.1711517761033368</v>
      </c>
      <c r="J27" s="23">
        <f>Listings_Total[[#This Row],[CA | Ventura]]/Sales_Closed[[#This Row],[CA | Ventura]]</f>
        <v>4.6761904761904765</v>
      </c>
      <c r="K27" s="23">
        <f>Listings_Total[[#This Row],[CO | Denver]]/Sales_Closed[[#This Row],[CO | Denver]]</f>
        <v>3.745676500508647</v>
      </c>
      <c r="L27" s="23">
        <f>Listings_Total[[#This Row],[DC | Washington]]/Sales_Closed[[#This Row],[DC | Washington]]</f>
        <v>4.6669332267093164</v>
      </c>
      <c r="M27" s="23">
        <f>Listings_Total[[#This Row],[IL | Chicago]]/Sales_Closed[[#This Row],[IL | Chicago]]</f>
        <v>9.4705882352941178</v>
      </c>
      <c r="N27" s="23">
        <f>Listings_Total[[#This Row],[MA | Boston]]/Sales_Closed[[#This Row],[MA | Boston]]</f>
        <v>8.4813603662524528</v>
      </c>
      <c r="O27" s="23">
        <f>Listings_Total[[#This Row],[MD | Baltimore]]/Sales_Closed[[#This Row],[MD | Baltimore]]</f>
        <v>6.0199306759098787</v>
      </c>
      <c r="P27" s="23">
        <f>Listings_Total[[#This Row],[NV | Las Vegas]]/Sales_Closed[[#This Row],[NV | Las Vegas]]</f>
        <v>5.4496245306633293</v>
      </c>
      <c r="Q27" s="23">
        <f>Listings_Total[[#This Row],[NY | Long Island]]/Sales_Closed[[#This Row],[NY | Long Island]]</f>
        <v>16.543926661573721</v>
      </c>
      <c r="R27" s="23">
        <f>Listings_Total[[#This Row],[OR | Portland]]/Sales_Closed[[#This Row],[OR | Portland]]</f>
        <v>5.5224184782608692</v>
      </c>
      <c r="S27" s="23">
        <f>Listings_Total[[#This Row],[PA | Philadelphia]]/Sales_Closed[[#This Row],[PA | Philadelphia]]</f>
        <v>12.126304801670146</v>
      </c>
      <c r="T27" s="23">
        <f>Listings_Total[[#This Row],[TX | Austin]]/Sales_Closed[[#This Row],[TX | Austin]]</f>
        <v>5.168333333333333</v>
      </c>
      <c r="U27" s="23">
        <f>Listings_Total[[#This Row],[WA | Seattle]]/Sales_Closed[[#This Row],[WA | Seattle]]</f>
        <v>4.7333880229696472</v>
      </c>
      <c r="V27" s="8"/>
      <c r="W27" s="8"/>
    </row>
    <row r="28" spans="1:23" x14ac:dyDescent="0.25">
      <c r="A28" s="5">
        <v>40969</v>
      </c>
      <c r="B28" s="22">
        <f>Listings_Total[[#This Row],[National]]/Sales_Closed[[#This Row],[National]]</f>
        <v>3.9710910681833478</v>
      </c>
      <c r="C28" s="23">
        <f>Listings_Total[[#This Row],[AZ | Phoenix]]/Sales_Closed[[#This Row],[AZ | Phoenix]]</f>
        <v>1.6304169113329419</v>
      </c>
      <c r="D28" s="23">
        <f>Listings_Total[[#This Row],[CA | Inland Empire]]/Sales_Closed[[#This Row],[CA | Inland Empire]]</f>
        <v>2.8739779594738715</v>
      </c>
      <c r="E28" s="23">
        <f>Listings_Total[[#This Row],[CA | Los Angeles]]/Sales_Closed[[#This Row],[CA | Los Angeles]]</f>
        <v>2.9453567383918462</v>
      </c>
      <c r="F28" s="23">
        <f>Listings_Total[[#This Row],[CA | Sacramento]]/Sales_Closed[[#This Row],[CA | Sacramento]]</f>
        <v>2.9212141882673941</v>
      </c>
      <c r="G28" s="23">
        <f>Listings_Total[[#This Row],[CA | San Diego]]/Sales_Closed[[#This Row],[CA | San Diego]]</f>
        <v>2.9409594095940959</v>
      </c>
      <c r="H28" s="23">
        <f>Listings_Total[[#This Row],[CA | San Francisco]]/Sales_Closed[[#This Row],[CA | San Francisco]]</f>
        <v>1.7577189666036548</v>
      </c>
      <c r="I28" s="23">
        <f>Listings_Total[[#This Row],[CA | San Jose]]/Sales_Closed[[#This Row],[CA | San Jose]]</f>
        <v>1.4590032154340835</v>
      </c>
      <c r="J28" s="23">
        <f>Listings_Total[[#This Row],[CA | Ventura]]/Sales_Closed[[#This Row],[CA | Ventura]]</f>
        <v>2.9113300492610836</v>
      </c>
      <c r="K28" s="23">
        <f>Listings_Total[[#This Row],[CO | Denver]]/Sales_Closed[[#This Row],[CO | Denver]]</f>
        <v>2.8584544758990051</v>
      </c>
      <c r="L28" s="23">
        <f>Listings_Total[[#This Row],[DC | Washington]]/Sales_Closed[[#This Row],[DC | Washington]]</f>
        <v>3.7818126335062558</v>
      </c>
      <c r="M28" s="23">
        <f>Listings_Total[[#This Row],[IL | Chicago]]/Sales_Closed[[#This Row],[IL | Chicago]]</f>
        <v>7.1911591817540561</v>
      </c>
      <c r="N28" s="23">
        <f>Listings_Total[[#This Row],[MA | Boston]]/Sales_Closed[[#This Row],[MA | Boston]]</f>
        <v>7.5967578520770012</v>
      </c>
      <c r="O28" s="23">
        <f>Listings_Total[[#This Row],[MD | Baltimore]]/Sales_Closed[[#This Row],[MD | Baltimore]]</f>
        <v>5.2119252873563218</v>
      </c>
      <c r="P28" s="23">
        <f>Listings_Total[[#This Row],[NV | Las Vegas]]/Sales_Closed[[#This Row],[NV | Las Vegas]]</f>
        <v>4.4359520639147805</v>
      </c>
      <c r="Q28" s="23">
        <f>Listings_Total[[#This Row],[NY | Long Island]]/Sales_Closed[[#This Row],[NY | Long Island]]</f>
        <v>15.681348933241569</v>
      </c>
      <c r="R28" s="23">
        <f>Listings_Total[[#This Row],[OR | Portland]]/Sales_Closed[[#This Row],[OR | Portland]]</f>
        <v>4.0586154623547248</v>
      </c>
      <c r="S28" s="23">
        <f>Listings_Total[[#This Row],[PA | Philadelphia]]/Sales_Closed[[#This Row],[PA | Philadelphia]]</f>
        <v>9.4866420057542129</v>
      </c>
      <c r="T28" s="23">
        <f>Listings_Total[[#This Row],[TX | Austin]]/Sales_Closed[[#This Row],[TX | Austin]]</f>
        <v>3.7864464692482915</v>
      </c>
      <c r="U28" s="23">
        <f>Listings_Total[[#This Row],[WA | Seattle]]/Sales_Closed[[#This Row],[WA | Seattle]]</f>
        <v>3.4654205607476634</v>
      </c>
      <c r="V28" s="8"/>
      <c r="W28" s="8"/>
    </row>
    <row r="29" spans="1:23" x14ac:dyDescent="0.25">
      <c r="A29" s="5">
        <v>41000</v>
      </c>
      <c r="B29" s="22">
        <f>Listings_Total[[#This Row],[National]]/Sales_Closed[[#This Row],[National]]</f>
        <v>4.0102408017757449</v>
      </c>
      <c r="C29" s="23">
        <f>Listings_Total[[#This Row],[AZ | Phoenix]]/Sales_Closed[[#This Row],[AZ | Phoenix]]</f>
        <v>1.6411145510835914</v>
      </c>
      <c r="D29" s="23">
        <f>Listings_Total[[#This Row],[CA | Inland Empire]]/Sales_Closed[[#This Row],[CA | Inland Empire]]</f>
        <v>3.0151454762853724</v>
      </c>
      <c r="E29" s="23">
        <f>Listings_Total[[#This Row],[CA | Los Angeles]]/Sales_Closed[[#This Row],[CA | Los Angeles]]</f>
        <v>2.8926327812678467</v>
      </c>
      <c r="F29" s="23">
        <f>Listings_Total[[#This Row],[CA | Sacramento]]/Sales_Closed[[#This Row],[CA | Sacramento]]</f>
        <v>2.9960488505747125</v>
      </c>
      <c r="G29" s="23">
        <f>Listings_Total[[#This Row],[CA | San Diego]]/Sales_Closed[[#This Row],[CA | San Diego]]</f>
        <v>2.6668116572422793</v>
      </c>
      <c r="H29" s="23">
        <f>Listings_Total[[#This Row],[CA | San Francisco]]/Sales_Closed[[#This Row],[CA | San Francisco]]</f>
        <v>1.6306517909571345</v>
      </c>
      <c r="I29" s="23">
        <f>Listings_Total[[#This Row],[CA | San Jose]]/Sales_Closed[[#This Row],[CA | San Jose]]</f>
        <v>1.2761692650334076</v>
      </c>
      <c r="J29" s="23">
        <f>Listings_Total[[#This Row],[CA | Ventura]]/Sales_Closed[[#This Row],[CA | Ventura]]</f>
        <v>2.7906976744186047</v>
      </c>
      <c r="K29" s="23">
        <f>Listings_Total[[#This Row],[CO | Denver]]/Sales_Closed[[#This Row],[CO | Denver]]</f>
        <v>2.6965034965034964</v>
      </c>
      <c r="L29" s="23">
        <f>Listings_Total[[#This Row],[DC | Washington]]/Sales_Closed[[#This Row],[DC | Washington]]</f>
        <v>3.6163697104677062</v>
      </c>
      <c r="M29" s="23">
        <f>Listings_Total[[#This Row],[IL | Chicago]]/Sales_Closed[[#This Row],[IL | Chicago]]</f>
        <v>7.1578341013824884</v>
      </c>
      <c r="N29" s="23">
        <f>Listings_Total[[#This Row],[MA | Boston]]/Sales_Closed[[#This Row],[MA | Boston]]</f>
        <v>7.2145438121047878</v>
      </c>
      <c r="O29" s="23">
        <f>Listings_Total[[#This Row],[MD | Baltimore]]/Sales_Closed[[#This Row],[MD | Baltimore]]</f>
        <v>4.932821497120921</v>
      </c>
      <c r="P29" s="23">
        <f>Listings_Total[[#This Row],[NV | Las Vegas]]/Sales_Closed[[#This Row],[NV | Las Vegas]]</f>
        <v>4.8111500291885578</v>
      </c>
      <c r="Q29" s="23">
        <f>Listings_Total[[#This Row],[NY | Long Island]]/Sales_Closed[[#This Row],[NY | Long Island]]</f>
        <v>17.368344274252369</v>
      </c>
      <c r="R29" s="23">
        <f>Listings_Total[[#This Row],[OR | Portland]]/Sales_Closed[[#This Row],[OR | Portland]]</f>
        <v>4.0494855463008328</v>
      </c>
      <c r="S29" s="23">
        <f>Listings_Total[[#This Row],[PA | Philadelphia]]/Sales_Closed[[#This Row],[PA | Philadelphia]]</f>
        <v>9.9006947282386601</v>
      </c>
      <c r="T29" s="23">
        <f>Listings_Total[[#This Row],[TX | Austin]]/Sales_Closed[[#This Row],[TX | Austin]]</f>
        <v>3.8496949528563507</v>
      </c>
      <c r="U29" s="23">
        <f>Listings_Total[[#This Row],[WA | Seattle]]/Sales_Closed[[#This Row],[WA | Seattle]]</f>
        <v>3.4297924297924296</v>
      </c>
      <c r="V29" s="8"/>
      <c r="W29" s="8"/>
    </row>
    <row r="30" spans="1:23" x14ac:dyDescent="0.25">
      <c r="A30" s="5">
        <v>41030</v>
      </c>
      <c r="B30" s="22">
        <f>Listings_Total[[#This Row],[National]]/Sales_Closed[[#This Row],[National]]</f>
        <v>3.3969658659924145</v>
      </c>
      <c r="C30" s="23">
        <f>Listings_Total[[#This Row],[AZ | Phoenix]]/Sales_Closed[[#This Row],[AZ | Phoenix]]</f>
        <v>1.5573869833959519</v>
      </c>
      <c r="D30" s="23">
        <f>Listings_Total[[#This Row],[CA | Inland Empire]]/Sales_Closed[[#This Row],[CA | Inland Empire]]</f>
        <v>2.3246231155778894</v>
      </c>
      <c r="E30" s="23">
        <f>Listings_Total[[#This Row],[CA | Los Angeles]]/Sales_Closed[[#This Row],[CA | Los Angeles]]</f>
        <v>2.4221718887630552</v>
      </c>
      <c r="F30" s="23">
        <f>Listings_Total[[#This Row],[CA | Sacramento]]/Sales_Closed[[#This Row],[CA | Sacramento]]</f>
        <v>2.4823747680890538</v>
      </c>
      <c r="G30" s="23">
        <f>Listings_Total[[#This Row],[CA | San Diego]]/Sales_Closed[[#This Row],[CA | San Diego]]</f>
        <v>2.2928739232576349</v>
      </c>
      <c r="H30" s="23">
        <f>Listings_Total[[#This Row],[CA | San Francisco]]/Sales_Closed[[#This Row],[CA | San Francisco]]</f>
        <v>1.3779879169950091</v>
      </c>
      <c r="I30" s="23">
        <f>Listings_Total[[#This Row],[CA | San Jose]]/Sales_Closed[[#This Row],[CA | San Jose]]</f>
        <v>1.1172325432415118</v>
      </c>
      <c r="J30" s="23">
        <f>Listings_Total[[#This Row],[CA | Ventura]]/Sales_Closed[[#This Row],[CA | Ventura]]</f>
        <v>2.1299052774018943</v>
      </c>
      <c r="K30" s="23">
        <f>Listings_Total[[#This Row],[CO | Denver]]/Sales_Closed[[#This Row],[CO | Denver]]</f>
        <v>2.1079936474325041</v>
      </c>
      <c r="L30" s="23">
        <f>Listings_Total[[#This Row],[DC | Washington]]/Sales_Closed[[#This Row],[DC | Washington]]</f>
        <v>2.9536047304980668</v>
      </c>
      <c r="M30" s="23">
        <f>Listings_Total[[#This Row],[IL | Chicago]]/Sales_Closed[[#This Row],[IL | Chicago]]</f>
        <v>5.6778731956879227</v>
      </c>
      <c r="N30" s="23">
        <f>Listings_Total[[#This Row],[MA | Boston]]/Sales_Closed[[#This Row],[MA | Boston]]</f>
        <v>5.6975308641975309</v>
      </c>
      <c r="O30" s="23">
        <f>Listings_Total[[#This Row],[MD | Baltimore]]/Sales_Closed[[#This Row],[MD | Baltimore]]</f>
        <v>4.3025164113785559</v>
      </c>
      <c r="P30" s="23">
        <f>Listings_Total[[#This Row],[NV | Las Vegas]]/Sales_Closed[[#This Row],[NV | Las Vegas]]</f>
        <v>4.2873687045515751</v>
      </c>
      <c r="Q30" s="23">
        <f>Listings_Total[[#This Row],[NY | Long Island]]/Sales_Closed[[#This Row],[NY | Long Island]]</f>
        <v>12.881382978723405</v>
      </c>
      <c r="R30" s="23">
        <f>Listings_Total[[#This Row],[OR | Portland]]/Sales_Closed[[#This Row],[OR | Portland]]</f>
        <v>3.4595375722543351</v>
      </c>
      <c r="S30" s="23">
        <f>Listings_Total[[#This Row],[PA | Philadelphia]]/Sales_Closed[[#This Row],[PA | Philadelphia]]</f>
        <v>7.7719797596457942</v>
      </c>
      <c r="T30" s="23">
        <f>Listings_Total[[#This Row],[TX | Austin]]/Sales_Closed[[#This Row],[TX | Austin]]</f>
        <v>3.2485098578633655</v>
      </c>
      <c r="U30" s="23">
        <f>Listings_Total[[#This Row],[WA | Seattle]]/Sales_Closed[[#This Row],[WA | Seattle]]</f>
        <v>2.9910408432147562</v>
      </c>
      <c r="V30" s="8"/>
      <c r="W30" s="8"/>
    </row>
    <row r="31" spans="1:23" x14ac:dyDescent="0.25">
      <c r="A31" s="5">
        <v>41061</v>
      </c>
      <c r="B31" s="22">
        <f>Listings_Total[[#This Row],[National]]/Sales_Closed[[#This Row],[National]]</f>
        <v>3.2365592892794082</v>
      </c>
      <c r="C31" s="23">
        <f>Listings_Total[[#This Row],[AZ | Phoenix]]/Sales_Closed[[#This Row],[AZ | Phoenix]]</f>
        <v>1.6371626640257488</v>
      </c>
      <c r="D31" s="23">
        <f>Listings_Total[[#This Row],[CA | Inland Empire]]/Sales_Closed[[#This Row],[CA | Inland Empire]]</f>
        <v>2.2586056264197101</v>
      </c>
      <c r="E31" s="23">
        <f>Listings_Total[[#This Row],[CA | Los Angeles]]/Sales_Closed[[#This Row],[CA | Los Angeles]]</f>
        <v>2.2516831925572287</v>
      </c>
      <c r="F31" s="23">
        <f>Listings_Total[[#This Row],[CA | Sacramento]]/Sales_Closed[[#This Row],[CA | Sacramento]]</f>
        <v>2.4473518284993694</v>
      </c>
      <c r="G31" s="23">
        <f>Listings_Total[[#This Row],[CA | San Diego]]/Sales_Closed[[#This Row],[CA | San Diego]]</f>
        <v>2.1907894736842106</v>
      </c>
      <c r="H31" s="23">
        <f>Listings_Total[[#This Row],[CA | San Francisco]]/Sales_Closed[[#This Row],[CA | San Francisco]]</f>
        <v>1.2709256844850065</v>
      </c>
      <c r="I31" s="23">
        <f>Listings_Total[[#This Row],[CA | San Jose]]/Sales_Closed[[#This Row],[CA | San Jose]]</f>
        <v>1.1811942347288951</v>
      </c>
      <c r="J31" s="23">
        <f>Listings_Total[[#This Row],[CA | Ventura]]/Sales_Closed[[#This Row],[CA | Ventura]]</f>
        <v>2.0294511378848727</v>
      </c>
      <c r="K31" s="23">
        <f>Listings_Total[[#This Row],[CO | Denver]]/Sales_Closed[[#This Row],[CO | Denver]]</f>
        <v>2.1677231907025885</v>
      </c>
      <c r="L31" s="23">
        <f>Listings_Total[[#This Row],[DC | Washington]]/Sales_Closed[[#This Row],[DC | Washington]]</f>
        <v>2.7656012176560121</v>
      </c>
      <c r="M31" s="23">
        <f>Listings_Total[[#This Row],[IL | Chicago]]/Sales_Closed[[#This Row],[IL | Chicago]]</f>
        <v>5.2477249747219412</v>
      </c>
      <c r="N31" s="23">
        <f>Listings_Total[[#This Row],[MA | Boston]]/Sales_Closed[[#This Row],[MA | Boston]]</f>
        <v>4.4039502164502169</v>
      </c>
      <c r="O31" s="23">
        <f>Listings_Total[[#This Row],[MD | Baltimore]]/Sales_Closed[[#This Row],[MD | Baltimore]]</f>
        <v>3.7448539971278123</v>
      </c>
      <c r="P31" s="23">
        <f>Listings_Total[[#This Row],[NV | Las Vegas]]/Sales_Closed[[#This Row],[NV | Las Vegas]]</f>
        <v>4.5077236957155344</v>
      </c>
      <c r="Q31" s="23">
        <f>Listings_Total[[#This Row],[NY | Long Island]]/Sales_Closed[[#This Row],[NY | Long Island]]</f>
        <v>11.871287128712872</v>
      </c>
      <c r="R31" s="23">
        <f>Listings_Total[[#This Row],[OR | Portland]]/Sales_Closed[[#This Row],[OR | Portland]]</f>
        <v>3.1369402985074628</v>
      </c>
      <c r="S31" s="23">
        <f>Listings_Total[[#This Row],[PA | Philadelphia]]/Sales_Closed[[#This Row],[PA | Philadelphia]]</f>
        <v>6.861832714815872</v>
      </c>
      <c r="T31" s="23">
        <f>Listings_Total[[#This Row],[TX | Austin]]/Sales_Closed[[#This Row],[TX | Austin]]</f>
        <v>3.0065654493229381</v>
      </c>
      <c r="U31" s="23">
        <f>Listings_Total[[#This Row],[WA | Seattle]]/Sales_Closed[[#This Row],[WA | Seattle]]</f>
        <v>2.8424880862804112</v>
      </c>
      <c r="V31" s="8"/>
      <c r="W31" s="8"/>
    </row>
    <row r="32" spans="1:23" x14ac:dyDescent="0.25">
      <c r="A32" s="5">
        <v>41091</v>
      </c>
      <c r="B32" s="22">
        <f>Listings_Total[[#This Row],[National]]/Sales_Closed[[#This Row],[National]]</f>
        <v>3.4296271516331123</v>
      </c>
      <c r="C32" s="23">
        <f>Listings_Total[[#This Row],[AZ | Phoenix]]/Sales_Closed[[#This Row],[AZ | Phoenix]]</f>
        <v>1.9049088359046282</v>
      </c>
      <c r="D32" s="23">
        <f>Listings_Total[[#This Row],[CA | Inland Empire]]/Sales_Closed[[#This Row],[CA | Inland Empire]]</f>
        <v>2.3626179245283021</v>
      </c>
      <c r="E32" s="23">
        <f>Listings_Total[[#This Row],[CA | Los Angeles]]/Sales_Closed[[#This Row],[CA | Los Angeles]]</f>
        <v>2.3042577973340235</v>
      </c>
      <c r="F32" s="23">
        <f>Listings_Total[[#This Row],[CA | Sacramento]]/Sales_Closed[[#This Row],[CA | Sacramento]]</f>
        <v>1.6461071789686552</v>
      </c>
      <c r="G32" s="23">
        <f>Listings_Total[[#This Row],[CA | San Diego]]/Sales_Closed[[#This Row],[CA | San Diego]]</f>
        <v>2.2958158995815898</v>
      </c>
      <c r="H32" s="23">
        <f>Listings_Total[[#This Row],[CA | San Francisco]]/Sales_Closed[[#This Row],[CA | San Francisco]]</f>
        <v>1.2719131614654002</v>
      </c>
      <c r="I32" s="23">
        <f>Listings_Total[[#This Row],[CA | San Jose]]/Sales_Closed[[#This Row],[CA | San Jose]]</f>
        <v>1.3272030651340996</v>
      </c>
      <c r="J32" s="23">
        <f>Listings_Total[[#This Row],[CA | Ventura]]/Sales_Closed[[#This Row],[CA | Ventura]]</f>
        <v>2.3402225755166932</v>
      </c>
      <c r="K32" s="23">
        <f>Listings_Total[[#This Row],[CO | Denver]]/Sales_Closed[[#This Row],[CO | Denver]]</f>
        <v>2.3419913419913421</v>
      </c>
      <c r="L32" s="23">
        <f>Listings_Total[[#This Row],[DC | Washington]]/Sales_Closed[[#This Row],[DC | Washington]]</f>
        <v>3.0782828282828283</v>
      </c>
      <c r="M32" s="23">
        <f>Listings_Total[[#This Row],[IL | Chicago]]/Sales_Closed[[#This Row],[IL | Chicago]]</f>
        <v>5.6540983606557376</v>
      </c>
      <c r="N32" s="23">
        <f>Listings_Total[[#This Row],[MA | Boston]]/Sales_Closed[[#This Row],[MA | Boston]]</f>
        <v>4.451775147928994</v>
      </c>
      <c r="O32" s="23">
        <f>Listings_Total[[#This Row],[MD | Baltimore]]/Sales_Closed[[#This Row],[MD | Baltimore]]</f>
        <v>4.5822935234699944</v>
      </c>
      <c r="P32" s="23">
        <f>Listings_Total[[#This Row],[NV | Las Vegas]]/Sales_Closed[[#This Row],[NV | Las Vegas]]</f>
        <v>5.0140350877192983</v>
      </c>
      <c r="Q32" s="23">
        <f>Listings_Total[[#This Row],[NY | Long Island]]/Sales_Closed[[#This Row],[NY | Long Island]]</f>
        <v>11.630738522954092</v>
      </c>
      <c r="R32" s="23">
        <f>Listings_Total[[#This Row],[OR | Portland]]/Sales_Closed[[#This Row],[OR | Portland]]</f>
        <v>3.6224662162162162</v>
      </c>
      <c r="S32" s="23">
        <f>Listings_Total[[#This Row],[PA | Philadelphia]]/Sales_Closed[[#This Row],[PA | Philadelphia]]</f>
        <v>6.9699203774697729</v>
      </c>
      <c r="T32" s="23">
        <f>Listings_Total[[#This Row],[TX | Austin]]/Sales_Closed[[#This Row],[TX | Austin]]</f>
        <v>3.4207804419370005</v>
      </c>
      <c r="U32" s="23">
        <f>Listings_Total[[#This Row],[WA | Seattle]]/Sales_Closed[[#This Row],[WA | Seattle]]</f>
        <v>2.9309895833333335</v>
      </c>
    </row>
    <row r="33" spans="1:21" x14ac:dyDescent="0.25">
      <c r="A33" s="5">
        <v>41122</v>
      </c>
      <c r="B33" s="22">
        <f>Listings_Total[[#This Row],[National]]/Sales_Closed[[#This Row],[National]]</f>
        <v>3.1048168682557464</v>
      </c>
      <c r="C33" s="23">
        <f>Listings_Total[[#This Row],[AZ | Phoenix]]/Sales_Closed[[#This Row],[AZ | Phoenix]]</f>
        <v>1.9188899316262233</v>
      </c>
      <c r="D33" s="23">
        <f>Listings_Total[[#This Row],[CA | Inland Empire]]/Sales_Closed[[#This Row],[CA | Inland Empire]]</f>
        <v>2.0485837217640732</v>
      </c>
      <c r="E33" s="23">
        <f>Listings_Total[[#This Row],[CA | Los Angeles]]/Sales_Closed[[#This Row],[CA | Los Angeles]]</f>
        <v>1.9546952224052718</v>
      </c>
      <c r="F33" s="23">
        <f>Listings_Total[[#This Row],[CA | Sacramento]]/Sales_Closed[[#This Row],[CA | Sacramento]]</f>
        <v>1.4298352654057351</v>
      </c>
      <c r="G33" s="23">
        <f>Listings_Total[[#This Row],[CA | San Diego]]/Sales_Closed[[#This Row],[CA | San Diego]]</f>
        <v>1.9295620437956205</v>
      </c>
      <c r="H33" s="23">
        <f>Listings_Total[[#This Row],[CA | San Francisco]]/Sales_Closed[[#This Row],[CA | San Francisco]]</f>
        <v>1.2033404029692472</v>
      </c>
      <c r="I33" s="23">
        <f>Listings_Total[[#This Row],[CA | San Jose]]/Sales_Closed[[#This Row],[CA | San Jose]]</f>
        <v>1.2290585618977019</v>
      </c>
      <c r="J33" s="23">
        <f>Listings_Total[[#This Row],[CA | Ventura]]/Sales_Closed[[#This Row],[CA | Ventura]]</f>
        <v>1.8261455525606469</v>
      </c>
      <c r="K33" s="23">
        <f>Listings_Total[[#This Row],[CO | Denver]]/Sales_Closed[[#This Row],[CO | Denver]]</f>
        <v>2.1933975240715267</v>
      </c>
      <c r="L33" s="23">
        <f>Listings_Total[[#This Row],[DC | Washington]]/Sales_Closed[[#This Row],[DC | Washington]]</f>
        <v>2.8993106843919252</v>
      </c>
      <c r="M33" s="23">
        <f>Listings_Total[[#This Row],[IL | Chicago]]/Sales_Closed[[#This Row],[IL | Chicago]]</f>
        <v>5.091554054054054</v>
      </c>
      <c r="N33" s="23">
        <f>Listings_Total[[#This Row],[MA | Boston]]/Sales_Closed[[#This Row],[MA | Boston]]</f>
        <v>3.9991438356164384</v>
      </c>
      <c r="O33" s="23">
        <f>Listings_Total[[#This Row],[MD | Baltimore]]/Sales_Closed[[#This Row],[MD | Baltimore]]</f>
        <v>4.1386740331491714</v>
      </c>
      <c r="P33" s="23">
        <f>Listings_Total[[#This Row],[NV | Las Vegas]]/Sales_Closed[[#This Row],[NV | Las Vegas]]</f>
        <v>4.6315479693937611</v>
      </c>
      <c r="Q33" s="23">
        <f>Listings_Total[[#This Row],[NY | Long Island]]/Sales_Closed[[#This Row],[NY | Long Island]]</f>
        <v>10.119004524886877</v>
      </c>
      <c r="R33" s="23">
        <f>Listings_Total[[#This Row],[OR | Portland]]/Sales_Closed[[#This Row],[OR | Portland]]</f>
        <v>3.167593622543567</v>
      </c>
      <c r="S33" s="23">
        <f>Listings_Total[[#This Row],[PA | Philadelphia]]/Sales_Closed[[#This Row],[PA | Philadelphia]]</f>
        <v>6.3608707786770866</v>
      </c>
      <c r="T33" s="23">
        <f>Listings_Total[[#This Row],[TX | Austin]]/Sales_Closed[[#This Row],[TX | Austin]]</f>
        <v>3.1890660592255125</v>
      </c>
      <c r="U33" s="23">
        <f>Listings_Total[[#This Row],[WA | Seattle]]/Sales_Closed[[#This Row],[WA | Seattle]]</f>
        <v>2.7493281211825069</v>
      </c>
    </row>
    <row r="34" spans="1:21" s="11" customFormat="1" x14ac:dyDescent="0.25">
      <c r="A34" s="5">
        <v>41153</v>
      </c>
      <c r="B34" s="22">
        <f>Listings_Total[[#This Row],[National]]/Sales_Closed[[#This Row],[National]]</f>
        <v>3.6949540488989077</v>
      </c>
      <c r="C34" s="23">
        <f>Listings_Total[[#This Row],[AZ | Phoenix]]/Sales_Closed[[#This Row],[AZ | Phoenix]]</f>
        <v>2.1849265240797324</v>
      </c>
      <c r="D34" s="23">
        <f>Listings_Total[[#This Row],[CA | Inland Empire]]/Sales_Closed[[#This Row],[CA | Inland Empire]]</f>
        <v>2.4475806451612905</v>
      </c>
      <c r="E34" s="23">
        <f>Listings_Total[[#This Row],[CA | Los Angeles]]/Sales_Closed[[#This Row],[CA | Los Angeles]]</f>
        <v>2.2624815361890693</v>
      </c>
      <c r="F34" s="23">
        <f>Listings_Total[[#This Row],[CA | Sacramento]]/Sales_Closed[[#This Row],[CA | Sacramento]]</f>
        <v>1.6532048907002594</v>
      </c>
      <c r="G34" s="23">
        <f>Listings_Total[[#This Row],[CA | San Diego]]/Sales_Closed[[#This Row],[CA | San Diego]]</f>
        <v>2.2694419030192132</v>
      </c>
      <c r="H34" s="23">
        <f>Listings_Total[[#This Row],[CA | San Francisco]]/Sales_Closed[[#This Row],[CA | San Francisco]]</f>
        <v>1.4592245989304813</v>
      </c>
      <c r="I34" s="23">
        <f>Listings_Total[[#This Row],[CA | San Jose]]/Sales_Closed[[#This Row],[CA | San Jose]]</f>
        <v>1.339606501283148</v>
      </c>
      <c r="J34" s="23">
        <f>Listings_Total[[#This Row],[CA | Ventura]]/Sales_Closed[[#This Row],[CA | Ventura]]</f>
        <v>1.896551724137931</v>
      </c>
      <c r="K34" s="23">
        <f>Listings_Total[[#This Row],[CO | Denver]]/Sales_Closed[[#This Row],[CO | Denver]]</f>
        <v>2.5003295978905733</v>
      </c>
      <c r="L34" s="23">
        <f>Listings_Total[[#This Row],[DC | Washington]]/Sales_Closed[[#This Row],[DC | Washington]]</f>
        <v>3.6344679546151486</v>
      </c>
      <c r="M34" s="23">
        <f>Listings_Total[[#This Row],[IL | Chicago]]/Sales_Closed[[#This Row],[IL | Chicago]]</f>
        <v>5.9472075010191601</v>
      </c>
      <c r="N34" s="23">
        <f>Listings_Total[[#This Row],[MA | Boston]]/Sales_Closed[[#This Row],[MA | Boston]]</f>
        <v>5.7966893039049232</v>
      </c>
      <c r="O34" s="23">
        <f>Listings_Total[[#This Row],[MD | Baltimore]]/Sales_Closed[[#This Row],[MD | Baltimore]]</f>
        <v>4.7021546261089986</v>
      </c>
      <c r="P34" s="23">
        <f>Listings_Total[[#This Row],[NV | Las Vegas]]/Sales_Closed[[#This Row],[NV | Las Vegas]]</f>
        <v>5.3966597077244263</v>
      </c>
      <c r="Q34" s="23">
        <f>Listings_Total[[#This Row],[NY | Long Island]]/Sales_Closed[[#This Row],[NY | Long Island]]</f>
        <v>12.316759776536314</v>
      </c>
      <c r="R34" s="23">
        <f>Listings_Total[[#This Row],[OR | Portland]]/Sales_Closed[[#This Row],[OR | Portland]]</f>
        <v>3.7351326623970724</v>
      </c>
      <c r="S34" s="23">
        <f>Listings_Total[[#This Row],[PA | Philadelphia]]/Sales_Closed[[#This Row],[PA | Philadelphia]]</f>
        <v>7.7297857636489287</v>
      </c>
      <c r="T34" s="23">
        <f>Listings_Total[[#This Row],[TX | Austin]]/Sales_Closed[[#This Row],[TX | Austin]]</f>
        <v>3.9337748344370862</v>
      </c>
      <c r="U34" s="23">
        <f>Listings_Total[[#This Row],[WA | Seattle]]/Sales_Closed[[#This Row],[WA | Seattle]]</f>
        <v>3.277927523210542</v>
      </c>
    </row>
    <row r="35" spans="1:21" x14ac:dyDescent="0.25">
      <c r="A35" s="5">
        <v>41183</v>
      </c>
      <c r="B35" s="22">
        <f>Listings_Total[[#This Row],[National]]/Sales_Closed[[#This Row],[National]]</f>
        <v>3.2362554197096123</v>
      </c>
      <c r="C35" s="23">
        <f>Listings_Total[[#This Row],[AZ | Phoenix]]/Sales_Closed[[#This Row],[AZ | Phoenix]]</f>
        <v>2.1092051805533192</v>
      </c>
      <c r="D35" s="23">
        <f>Listings_Total[[#This Row],[CA | Inland Empire]]/Sales_Closed[[#This Row],[CA | Inland Empire]]</f>
        <v>2.0514883807418225</v>
      </c>
      <c r="E35" s="23">
        <f>Listings_Total[[#This Row],[CA | Los Angeles]]/Sales_Closed[[#This Row],[CA | Los Angeles]]</f>
        <v>1.8079839010689331</v>
      </c>
      <c r="F35" s="23">
        <f>Listings_Total[[#This Row],[CA | Sacramento]]/Sales_Closed[[#This Row],[CA | Sacramento]]</f>
        <v>1.3019992659725996</v>
      </c>
      <c r="G35" s="23">
        <f>Listings_Total[[#This Row],[CA | San Diego]]/Sales_Closed[[#This Row],[CA | San Diego]]</f>
        <v>1.8377383392501494</v>
      </c>
      <c r="H35" s="23">
        <f>Listings_Total[[#This Row],[CA | San Francisco]]/Sales_Closed[[#This Row],[CA | San Francisco]]</f>
        <v>1.1199994332928795</v>
      </c>
      <c r="I35" s="23">
        <f>Listings_Total[[#This Row],[CA | San Jose]]/Sales_Closed[[#This Row],[CA | San Jose]]</f>
        <v>1.0611554170198993</v>
      </c>
      <c r="J35" s="23">
        <f>Listings_Total[[#This Row],[CA | Ventura]]/Sales_Closed[[#This Row],[CA | Ventura]]</f>
        <v>1.70498783203173</v>
      </c>
      <c r="K35" s="23">
        <f>Listings_Total[[#This Row],[CO | Denver]]/Sales_Closed[[#This Row],[CO | Denver]]</f>
        <v>2.1449006179882812</v>
      </c>
      <c r="L35" s="23">
        <f>Listings_Total[[#This Row],[DC | Washington]]/Sales_Closed[[#This Row],[DC | Washington]]</f>
        <v>3.4902007645237334</v>
      </c>
      <c r="M35" s="23">
        <f>Listings_Total[[#This Row],[IL | Chicago]]/Sales_Closed[[#This Row],[IL | Chicago]]</f>
        <v>5.3377043534948392</v>
      </c>
      <c r="N35" s="23">
        <f>Listings_Total[[#This Row],[MA | Boston]]/Sales_Closed[[#This Row],[MA | Boston]]</f>
        <v>5.2866501346923904</v>
      </c>
      <c r="O35" s="23">
        <f>Listings_Total[[#This Row],[MD | Baltimore]]/Sales_Closed[[#This Row],[MD | Baltimore]]</f>
        <v>5.0981949122906922</v>
      </c>
      <c r="P35" s="23">
        <f>Listings_Total[[#This Row],[NV | Las Vegas]]/Sales_Closed[[#This Row],[NV | Las Vegas]]</f>
        <v>4.5871249326210677</v>
      </c>
      <c r="Q35" s="23">
        <f>Listings_Total[[#This Row],[NY | Long Island]]/Sales_Closed[[#This Row],[NY | Long Island]]</f>
        <v>13.673739834960555</v>
      </c>
      <c r="R35" s="23">
        <f>Listings_Total[[#This Row],[OR | Portland]]/Sales_Closed[[#This Row],[OR | Portland]]</f>
        <v>3.091773867947083</v>
      </c>
      <c r="S35" s="23">
        <f>Listings_Total[[#This Row],[PA | Philadelphia]]/Sales_Closed[[#This Row],[PA | Philadelphia]]</f>
        <v>7.8770839010476781</v>
      </c>
      <c r="T35" s="23">
        <f>Listings_Total[[#This Row],[TX | Austin]]/Sales_Closed[[#This Row],[TX | Austin]]</f>
        <v>3.3852133729801634</v>
      </c>
      <c r="U35" s="23">
        <f>Listings_Total[[#This Row],[WA | Seattle]]/Sales_Closed[[#This Row],[WA | Seattle]]</f>
        <v>2.6982189084213291</v>
      </c>
    </row>
    <row r="36" spans="1:21" x14ac:dyDescent="0.25">
      <c r="A36" s="5">
        <v>41214</v>
      </c>
      <c r="B36" s="22">
        <f>Listings_Total[[#This Row],[National]]/Sales_Closed[[#This Row],[National]]</f>
        <v>3.2753087054068404</v>
      </c>
      <c r="C36" s="23">
        <f>Listings_Total[[#This Row],[AZ | Phoenix]]/Sales_Closed[[#This Row],[AZ | Phoenix]]</f>
        <v>2.5409387817104663</v>
      </c>
      <c r="D36" s="23">
        <f>Listings_Total[[#This Row],[CA | Inland Empire]]/Sales_Closed[[#This Row],[CA | Inland Empire]]</f>
        <v>2.1657665143331948</v>
      </c>
      <c r="E36" s="23">
        <f>Listings_Total[[#This Row],[CA | Los Angeles]]/Sales_Closed[[#This Row],[CA | Los Angeles]]</f>
        <v>1.8109508472202773</v>
      </c>
      <c r="F36" s="23">
        <f>Listings_Total[[#This Row],[CA | Sacramento]]/Sales_Closed[[#This Row],[CA | Sacramento]]</f>
        <v>1.3636690647482015</v>
      </c>
      <c r="G36" s="23">
        <f>Listings_Total[[#This Row],[CA | San Diego]]/Sales_Closed[[#This Row],[CA | San Diego]]</f>
        <v>1.9104007203962179</v>
      </c>
      <c r="H36" s="23">
        <f>Listings_Total[[#This Row],[CA | San Francisco]]/Sales_Closed[[#This Row],[CA | San Francisco]]</f>
        <v>0.9661631419939577</v>
      </c>
      <c r="I36" s="23">
        <f>Listings_Total[[#This Row],[CA | San Jose]]/Sales_Closed[[#This Row],[CA | San Jose]]</f>
        <v>0.89672131147540979</v>
      </c>
      <c r="J36" s="23">
        <f>Listings_Total[[#This Row],[CA | Ventura]]/Sales_Closed[[#This Row],[CA | Ventura]]</f>
        <v>1.5240310077519379</v>
      </c>
      <c r="K36" s="23">
        <f>Listings_Total[[#This Row],[CO | Denver]]/Sales_Closed[[#This Row],[CO | Denver]]</f>
        <v>2.2142857142857144</v>
      </c>
      <c r="L36" s="23">
        <f>Listings_Total[[#This Row],[DC | Washington]]/Sales_Closed[[#This Row],[DC | Washington]]</f>
        <v>3.0250073551044423</v>
      </c>
      <c r="M36" s="23">
        <f>Listings_Total[[#This Row],[IL | Chicago]]/Sales_Closed[[#This Row],[IL | Chicago]]</f>
        <v>5.3852929127406801</v>
      </c>
      <c r="N36" s="23">
        <f>Listings_Total[[#This Row],[MA | Boston]]/Sales_Closed[[#This Row],[MA | Boston]]</f>
        <v>4.2473433492121657</v>
      </c>
      <c r="O36" s="23">
        <f>Listings_Total[[#This Row],[MD | Baltimore]]/Sales_Closed[[#This Row],[MD | Baltimore]]</f>
        <v>4.1863433312061265</v>
      </c>
      <c r="P36" s="23">
        <f>Listings_Total[[#This Row],[NV | Las Vegas]]/Sales_Closed[[#This Row],[NV | Las Vegas]]</f>
        <v>5.0749398418700586</v>
      </c>
      <c r="Q36" s="23">
        <f>Listings_Total[[#This Row],[NY | Long Island]]/Sales_Closed[[#This Row],[NY | Long Island]]</f>
        <v>15.951219512195122</v>
      </c>
      <c r="R36" s="23">
        <f>Listings_Total[[#This Row],[OR | Portland]]/Sales_Closed[[#This Row],[OR | Portland]]</f>
        <v>3.3675131768088167</v>
      </c>
      <c r="S36" s="23">
        <f>Listings_Total[[#This Row],[PA | Philadelphia]]/Sales_Closed[[#This Row],[PA | Philadelphia]]</f>
        <v>6.7089722675367049</v>
      </c>
      <c r="T36" s="23">
        <f>Listings_Total[[#This Row],[TX | Austin]]/Sales_Closed[[#This Row],[TX | Austin]]</f>
        <v>3.9090282563749139</v>
      </c>
      <c r="U36" s="23">
        <f>Listings_Total[[#This Row],[WA | Seattle]]/Sales_Closed[[#This Row],[WA | Seattle]]</f>
        <v>2.6236151603498543</v>
      </c>
    </row>
    <row r="37" spans="1:21" x14ac:dyDescent="0.25">
      <c r="A37" s="5">
        <v>41244</v>
      </c>
      <c r="B37" s="22">
        <f>Listings_Total[[#This Row],[National]]/Sales_Closed[[#This Row],[National]]</f>
        <v>2.8711685419794533</v>
      </c>
      <c r="C37" s="23">
        <f>Listings_Total[[#This Row],[AZ | Phoenix]]/Sales_Closed[[#This Row],[AZ | Phoenix]]</f>
        <v>2.4036144578313254</v>
      </c>
      <c r="D37" s="23">
        <f>Listings_Total[[#This Row],[CA | Inland Empire]]/Sales_Closed[[#This Row],[CA | Inland Empire]]</f>
        <v>1.9005162827640985</v>
      </c>
      <c r="E37" s="23">
        <f>Listings_Total[[#This Row],[CA | Los Angeles]]/Sales_Closed[[#This Row],[CA | Los Angeles]]</f>
        <v>1.3341821268340002</v>
      </c>
      <c r="F37" s="23">
        <f>Listings_Total[[#This Row],[CA | Sacramento]]/Sales_Closed[[#This Row],[CA | Sacramento]]</f>
        <v>1.7387339055793991</v>
      </c>
      <c r="G37" s="23">
        <f>Listings_Total[[#This Row],[CA | San Diego]]/Sales_Closed[[#This Row],[CA | San Diego]]</f>
        <v>1.4557575757575758</v>
      </c>
      <c r="H37" s="23">
        <f>Listings_Total[[#This Row],[CA | San Francisco]]/Sales_Closed[[#This Row],[CA | San Francisco]]</f>
        <v>0.7472947167409294</v>
      </c>
      <c r="I37" s="23">
        <f>Listings_Total[[#This Row],[CA | San Jose]]/Sales_Closed[[#This Row],[CA | San Jose]]</f>
        <v>0.60030983733539889</v>
      </c>
      <c r="J37" s="23">
        <f>Listings_Total[[#This Row],[CA | Ventura]]/Sales_Closed[[#This Row],[CA | Ventura]]</f>
        <v>1.2985294117647059</v>
      </c>
      <c r="K37" s="23">
        <f>Listings_Total[[#This Row],[CO | Denver]]/Sales_Closed[[#This Row],[CO | Denver]]</f>
        <v>2.1146616541353382</v>
      </c>
      <c r="L37" s="23">
        <f>Listings_Total[[#This Row],[DC | Washington]]/Sales_Closed[[#This Row],[DC | Washington]]</f>
        <v>2.8426860025220679</v>
      </c>
      <c r="M37" s="23">
        <f>Listings_Total[[#This Row],[IL | Chicago]]/Sales_Closed[[#This Row],[IL | Chicago]]</f>
        <v>4.9936850682420042</v>
      </c>
      <c r="N37" s="23">
        <f>Listings_Total[[#This Row],[MA | Boston]]/Sales_Closed[[#This Row],[MA | Boston]]</f>
        <v>3.5496358758144884</v>
      </c>
      <c r="O37" s="23">
        <f>Listings_Total[[#This Row],[MD | Baltimore]]/Sales_Closed[[#This Row],[MD | Baltimore]]</f>
        <v>4.1526988636363633</v>
      </c>
      <c r="P37" s="23">
        <f>Listings_Total[[#This Row],[NV | Las Vegas]]/Sales_Closed[[#This Row],[NV | Las Vegas]]</f>
        <v>4.1701334989133807</v>
      </c>
      <c r="Q37" s="23">
        <f>Listings_Total[[#This Row],[NY | Long Island]]/Sales_Closed[[#This Row],[NY | Long Island]]</f>
        <v>8.8633165829145728</v>
      </c>
      <c r="R37" s="23">
        <f>Listings_Total[[#This Row],[OR | Portland]]/Sales_Closed[[#This Row],[OR | Portland]]</f>
        <v>2.9543761638733708</v>
      </c>
      <c r="S37" s="23">
        <f>Listings_Total[[#This Row],[PA | Philadelphia]]/Sales_Closed[[#This Row],[PA | Philadelphia]]</f>
        <v>6.7179956108266277</v>
      </c>
      <c r="T37" s="23">
        <f>Listings_Total[[#This Row],[TX | Austin]]/Sales_Closed[[#This Row],[TX | Austin]]</f>
        <v>2.8896065766294772</v>
      </c>
      <c r="U37" s="23">
        <f>Listings_Total[[#This Row],[WA | Seattle]]/Sales_Closed[[#This Row],[WA | Seattle]]</f>
        <v>2.3426865671641792</v>
      </c>
    </row>
    <row r="38" spans="1:21" x14ac:dyDescent="0.25">
      <c r="A38" s="5">
        <v>41275</v>
      </c>
      <c r="B38" s="22">
        <f>Listings_Total[[#This Row],[National]]/Sales_Closed[[#This Row],[National]]</f>
        <v>3.4922226426199185</v>
      </c>
      <c r="C38" s="23">
        <f>Listings_Total[[#This Row],[AZ | Phoenix]]/Sales_Closed[[#This Row],[AZ | Phoenix]]</f>
        <v>2.8833967046894804</v>
      </c>
      <c r="D38" s="23">
        <f>Listings_Total[[#This Row],[CA | Inland Empire]]/Sales_Closed[[#This Row],[CA | Inland Empire]]</f>
        <v>2.1558649018712917</v>
      </c>
      <c r="E38" s="23">
        <f>Listings_Total[[#This Row],[CA | Los Angeles]]/Sales_Closed[[#This Row],[CA | Los Angeles]]</f>
        <v>1.8761092150170648</v>
      </c>
      <c r="F38" s="23">
        <f>Listings_Total[[#This Row],[CA | Sacramento]]/Sales_Closed[[#This Row],[CA | Sacramento]]</f>
        <v>1.4444444444444444</v>
      </c>
      <c r="G38" s="23">
        <f>Listings_Total[[#This Row],[CA | San Diego]]/Sales_Closed[[#This Row],[CA | San Diego]]</f>
        <v>1.9504219409282701</v>
      </c>
      <c r="H38" s="23">
        <f>Listings_Total[[#This Row],[CA | San Francisco]]/Sales_Closed[[#This Row],[CA | San Francisco]]</f>
        <v>1.023932987634623</v>
      </c>
      <c r="I38" s="23">
        <f>Listings_Total[[#This Row],[CA | San Jose]]/Sales_Closed[[#This Row],[CA | San Jose]]</f>
        <v>1.0960099750623442</v>
      </c>
      <c r="J38" s="23">
        <f>Listings_Total[[#This Row],[CA | Ventura]]/Sales_Closed[[#This Row],[CA | Ventura]]</f>
        <v>2.017391304347826</v>
      </c>
      <c r="K38" s="23">
        <f>Listings_Total[[#This Row],[CO | Denver]]/Sales_Closed[[#This Row],[CO | Denver]]</f>
        <v>2.3267326732673266</v>
      </c>
      <c r="L38" s="23">
        <f>Listings_Total[[#This Row],[DC | Washington]]/Sales_Closed[[#This Row],[DC | Washington]]</f>
        <v>3.2069749810462471</v>
      </c>
      <c r="M38" s="23">
        <f>Listings_Total[[#This Row],[IL | Chicago]]/Sales_Closed[[#This Row],[IL | Chicago]]</f>
        <v>5.5549119555143651</v>
      </c>
      <c r="N38" s="23">
        <f>Listings_Total[[#This Row],[MA | Boston]]/Sales_Closed[[#This Row],[MA | Boston]]</f>
        <v>4.5925520262869659</v>
      </c>
      <c r="O38" s="23">
        <f>Listings_Total[[#This Row],[MD | Baltimore]]/Sales_Closed[[#This Row],[MD | Baltimore]]</f>
        <v>4.8068669527896999</v>
      </c>
      <c r="P38" s="23">
        <f>Listings_Total[[#This Row],[NV | Las Vegas]]/Sales_Closed[[#This Row],[NV | Las Vegas]]</f>
        <v>5.1750098541584553</v>
      </c>
      <c r="Q38" s="23">
        <f>Listings_Total[[#This Row],[NY | Long Island]]/Sales_Closed[[#This Row],[NY | Long Island]]</f>
        <v>10.300233644859814</v>
      </c>
      <c r="R38" s="23">
        <f>Listings_Total[[#This Row],[OR | Portland]]/Sales_Closed[[#This Row],[OR | Portland]]</f>
        <v>3.6925409338993331</v>
      </c>
      <c r="S38" s="23">
        <f>Listings_Total[[#This Row],[PA | Philadelphia]]/Sales_Closed[[#This Row],[PA | Philadelphia]]</f>
        <v>8.5218412400187873</v>
      </c>
      <c r="T38" s="23">
        <f>Listings_Total[[#This Row],[TX | Austin]]/Sales_Closed[[#This Row],[TX | Austin]]</f>
        <v>3.5316653635652853</v>
      </c>
      <c r="U38" s="23">
        <f>Listings_Total[[#This Row],[WA | Seattle]]/Sales_Closed[[#This Row],[WA | Seattle]]</f>
        <v>2.9780963759458383</v>
      </c>
    </row>
    <row r="39" spans="1:21" x14ac:dyDescent="0.25">
      <c r="A39" s="5">
        <v>41306</v>
      </c>
      <c r="B39" s="22">
        <f>Listings_Total[[#This Row],[National]]/Sales_Closed[[#This Row],[National]]</f>
        <v>3.4873028306002469</v>
      </c>
      <c r="C39" s="23">
        <f>Listings_Total[[#This Row],[AZ | Phoenix]]/Sales_Closed[[#This Row],[AZ | Phoenix]]</f>
        <v>2.4525677596538249</v>
      </c>
      <c r="D39" s="23">
        <f>Listings_Total[[#This Row],[CA | Inland Empire]]/Sales_Closed[[#This Row],[CA | Inland Empire]]</f>
        <v>2.1171865444252878</v>
      </c>
      <c r="E39" s="23">
        <f>Listings_Total[[#This Row],[CA | Los Angeles]]/Sales_Closed[[#This Row],[CA | Los Angeles]]</f>
        <v>1.8940027827340042</v>
      </c>
      <c r="F39" s="23">
        <f>Listings_Total[[#This Row],[CA | Sacramento]]/Sales_Closed[[#This Row],[CA | Sacramento]]</f>
        <v>1.3892218012746584</v>
      </c>
      <c r="G39" s="23">
        <f>Listings_Total[[#This Row],[CA | San Diego]]/Sales_Closed[[#This Row],[CA | San Diego]]</f>
        <v>2.0112973051541951</v>
      </c>
      <c r="H39" s="23">
        <f>Listings_Total[[#This Row],[CA | San Francisco]]/Sales_Closed[[#This Row],[CA | San Francisco]]</f>
        <v>1.1814048042974925</v>
      </c>
      <c r="I39" s="23">
        <f>Listings_Total[[#This Row],[CA | San Jose]]/Sales_Closed[[#This Row],[CA | San Jose]]</f>
        <v>1.1932394417237355</v>
      </c>
      <c r="J39" s="23">
        <f>Listings_Total[[#This Row],[CA | Ventura]]/Sales_Closed[[#This Row],[CA | Ventura]]</f>
        <v>1.912546149072587</v>
      </c>
      <c r="K39" s="23">
        <f>Listings_Total[[#This Row],[CO | Denver]]/Sales_Closed[[#This Row],[CO | Denver]]</f>
        <v>1.9151315721343105</v>
      </c>
      <c r="L39" s="23">
        <f>Listings_Total[[#This Row],[DC | Washington]]/Sales_Closed[[#This Row],[DC | Washington]]</f>
        <v>3.3747777562676955</v>
      </c>
      <c r="M39" s="23">
        <f>Listings_Total[[#This Row],[IL | Chicago]]/Sales_Closed[[#This Row],[IL | Chicago]]</f>
        <v>6.3372649869417108</v>
      </c>
      <c r="N39" s="23">
        <f>Listings_Total[[#This Row],[MA | Boston]]/Sales_Closed[[#This Row],[MA | Boston]]</f>
        <v>5.6024210573674207</v>
      </c>
      <c r="O39" s="23">
        <f>Listings_Total[[#This Row],[MD | Baltimore]]/Sales_Closed[[#This Row],[MD | Baltimore]]</f>
        <v>5.5977377728507687</v>
      </c>
      <c r="P39" s="23">
        <f>Listings_Total[[#This Row],[NV | Las Vegas]]/Sales_Closed[[#This Row],[NV | Las Vegas]]</f>
        <v>4.3087935782854601</v>
      </c>
      <c r="Q39" s="23">
        <f>Listings_Total[[#This Row],[NY | Long Island]]/Sales_Closed[[#This Row],[NY | Long Island]]</f>
        <v>13.587988629275214</v>
      </c>
      <c r="R39" s="23">
        <f>Listings_Total[[#This Row],[OR | Portland]]/Sales_Closed[[#This Row],[OR | Portland]]</f>
        <v>3.521219597826573</v>
      </c>
      <c r="S39" s="23">
        <f>Listings_Total[[#This Row],[PA | Philadelphia]]/Sales_Closed[[#This Row],[PA | Philadelphia]]</f>
        <v>9.0424449369009565</v>
      </c>
      <c r="T39" s="23">
        <f>Listings_Total[[#This Row],[TX | Austin]]/Sales_Closed[[#This Row],[TX | Austin]]</f>
        <v>3.0923875238495331</v>
      </c>
      <c r="U39" s="23">
        <f>Listings_Total[[#This Row],[WA | Seattle]]/Sales_Closed[[#This Row],[WA | Seattle]]</f>
        <v>2.6041525992944323</v>
      </c>
    </row>
    <row r="40" spans="1:21" x14ac:dyDescent="0.25">
      <c r="A40" s="5">
        <v>41334</v>
      </c>
      <c r="B40" s="22">
        <f>Listings_Total[[#This Row],[National]]/Sales_Closed[[#This Row],[National]]</f>
        <v>2.7157603386519051</v>
      </c>
      <c r="C40" s="23">
        <f>Listings_Total[[#This Row],[AZ | Phoenix]]/Sales_Closed[[#This Row],[AZ | Phoenix]]</f>
        <v>1.9638188300541397</v>
      </c>
      <c r="D40" s="23">
        <f>Listings_Total[[#This Row],[CA | Inland Empire]]/Sales_Closed[[#This Row],[CA | Inland Empire]]</f>
        <v>1.6493944808417709</v>
      </c>
      <c r="E40" s="23">
        <f>Listings_Total[[#This Row],[CA | Los Angeles]]/Sales_Closed[[#This Row],[CA | Los Angeles]]</f>
        <v>1.3373101952277657</v>
      </c>
      <c r="F40" s="23">
        <f>Listings_Total[[#This Row],[CA | Sacramento]]/Sales_Closed[[#This Row],[CA | Sacramento]]</f>
        <v>1.1380180180180179</v>
      </c>
      <c r="G40" s="23">
        <f>Listings_Total[[#This Row],[CA | San Diego]]/Sales_Closed[[#This Row],[CA | San Diego]]</f>
        <v>1.4355034371209059</v>
      </c>
      <c r="H40" s="23">
        <f>Listings_Total[[#This Row],[CA | San Francisco]]/Sales_Closed[[#This Row],[CA | San Francisco]]</f>
        <v>0.86906290115532736</v>
      </c>
      <c r="I40" s="23">
        <f>Listings_Total[[#This Row],[CA | San Jose]]/Sales_Closed[[#This Row],[CA | San Jose]]</f>
        <v>0.83433994823123381</v>
      </c>
      <c r="J40" s="23">
        <f>Listings_Total[[#This Row],[CA | Ventura]]/Sales_Closed[[#This Row],[CA | Ventura]]</f>
        <v>1.3821656050955413</v>
      </c>
      <c r="K40" s="23">
        <f>Listings_Total[[#This Row],[CO | Denver]]/Sales_Closed[[#This Row],[CO | Denver]]</f>
        <v>1.4156259076386872</v>
      </c>
      <c r="L40" s="23">
        <f>Listings_Total[[#This Row],[DC | Washington]]/Sales_Closed[[#This Row],[DC | Washington]]</f>
        <v>2.7131072410632449</v>
      </c>
      <c r="M40" s="23">
        <f>Listings_Total[[#This Row],[IL | Chicago]]/Sales_Closed[[#This Row],[IL | Chicago]]</f>
        <v>5.1136718749999996</v>
      </c>
      <c r="N40" s="23">
        <f>Listings_Total[[#This Row],[MA | Boston]]/Sales_Closed[[#This Row],[MA | Boston]]</f>
        <v>4.2430417495029822</v>
      </c>
      <c r="O40" s="23">
        <f>Listings_Total[[#This Row],[MD | Baltimore]]/Sales_Closed[[#This Row],[MD | Baltimore]]</f>
        <v>4.1580829756795419</v>
      </c>
      <c r="P40" s="23">
        <f>Listings_Total[[#This Row],[NV | Las Vegas]]/Sales_Closed[[#This Row],[NV | Las Vegas]]</f>
        <v>3.7920914426938523</v>
      </c>
      <c r="Q40" s="23">
        <f>Listings_Total[[#This Row],[NY | Long Island]]/Sales_Closed[[#This Row],[NY | Long Island]]</f>
        <v>8.6558591940713292</v>
      </c>
      <c r="R40" s="23">
        <f>Listings_Total[[#This Row],[OR | Portland]]/Sales_Closed[[#This Row],[OR | Portland]]</f>
        <v>2.5182481751824817</v>
      </c>
      <c r="S40" s="23">
        <f>Listings_Total[[#This Row],[PA | Philadelphia]]/Sales_Closed[[#This Row],[PA | Philadelphia]]</f>
        <v>7.7004235656526765</v>
      </c>
      <c r="T40" s="23">
        <f>Listings_Total[[#This Row],[TX | Austin]]/Sales_Closed[[#This Row],[TX | Austin]]</f>
        <v>2.2739240506329113</v>
      </c>
      <c r="U40" s="23">
        <f>Listings_Total[[#This Row],[WA | Seattle]]/Sales_Closed[[#This Row],[WA | Seattle]]</f>
        <v>1.8459893048128342</v>
      </c>
    </row>
    <row r="41" spans="1:21" x14ac:dyDescent="0.25">
      <c r="A41" s="5">
        <v>41365</v>
      </c>
      <c r="B41" s="22">
        <f>Listings_Total[[#This Row],[National]]/Sales_Closed[[#This Row],[National]]</f>
        <v>2.5905790737162597</v>
      </c>
      <c r="C41" s="23">
        <f>Listings_Total[[#This Row],[AZ | Phoenix]]/Sales_Closed[[#This Row],[AZ | Phoenix]]</f>
        <v>1.739822353811991</v>
      </c>
      <c r="D41" s="23">
        <f>Listings_Total[[#This Row],[CA | Inland Empire]]/Sales_Closed[[#This Row],[CA | Inland Empire]]</f>
        <v>1.5727883538633818</v>
      </c>
      <c r="E41" s="23">
        <f>Listings_Total[[#This Row],[CA | Los Angeles]]/Sales_Closed[[#This Row],[CA | Los Angeles]]</f>
        <v>1.4166235780765253</v>
      </c>
      <c r="F41" s="23">
        <f>Listings_Total[[#This Row],[CA | Sacramento]]/Sales_Closed[[#This Row],[CA | Sacramento]]</f>
        <v>1.1739986868023637</v>
      </c>
      <c r="G41" s="23">
        <f>Listings_Total[[#This Row],[CA | San Diego]]/Sales_Closed[[#This Row],[CA | San Diego]]</f>
        <v>1.4808294209702659</v>
      </c>
      <c r="H41" s="23">
        <f>Listings_Total[[#This Row],[CA | San Francisco]]/Sales_Closed[[#This Row],[CA | San Francisco]]</f>
        <v>1.0195671509042394</v>
      </c>
      <c r="I41" s="23">
        <f>Listings_Total[[#This Row],[CA | San Jose]]/Sales_Closed[[#This Row],[CA | San Jose]]</f>
        <v>0.89387144992526157</v>
      </c>
      <c r="J41" s="23">
        <f>Listings_Total[[#This Row],[CA | Ventura]]/Sales_Closed[[#This Row],[CA | Ventura]]</f>
        <v>1.464179104477612</v>
      </c>
      <c r="K41" s="23">
        <f>Listings_Total[[#This Row],[CO | Denver]]/Sales_Closed[[#This Row],[CO | Denver]]</f>
        <v>1.3687794656888423</v>
      </c>
      <c r="L41" s="23">
        <f>Listings_Total[[#This Row],[DC | Washington]]/Sales_Closed[[#This Row],[DC | Washington]]</f>
        <v>2.5389511201629329</v>
      </c>
      <c r="M41" s="23">
        <f>Listings_Total[[#This Row],[IL | Chicago]]/Sales_Closed[[#This Row],[IL | Chicago]]</f>
        <v>4.4134853743182942</v>
      </c>
      <c r="N41" s="23">
        <f>Listings_Total[[#This Row],[MA | Boston]]/Sales_Closed[[#This Row],[MA | Boston]]</f>
        <v>3.4940743767879034</v>
      </c>
      <c r="O41" s="23">
        <f>Listings_Total[[#This Row],[MD | Baltimore]]/Sales_Closed[[#This Row],[MD | Baltimore]]</f>
        <v>3.7765460910151694</v>
      </c>
      <c r="P41" s="23">
        <f>Listings_Total[[#This Row],[NV | Las Vegas]]/Sales_Closed[[#This Row],[NV | Las Vegas]]</f>
        <v>3.6441947565543069</v>
      </c>
      <c r="Q41" s="23">
        <f>Listings_Total[[#This Row],[NY | Long Island]]/Sales_Closed[[#This Row],[NY | Long Island]]</f>
        <v>8.1863727454909814</v>
      </c>
      <c r="R41" s="23">
        <f>Listings_Total[[#This Row],[OR | Portland]]/Sales_Closed[[#This Row],[OR | Portland]]</f>
        <v>2.4098360655737703</v>
      </c>
      <c r="S41" s="23">
        <f>Listings_Total[[#This Row],[PA | Philadelphia]]/Sales_Closed[[#This Row],[PA | Philadelphia]]</f>
        <v>6.9054742202418842</v>
      </c>
      <c r="T41" s="23">
        <f>Listings_Total[[#This Row],[TX | Austin]]/Sales_Closed[[#This Row],[TX | Austin]]</f>
        <v>2.152417962003454</v>
      </c>
      <c r="U41" s="23">
        <f>Listings_Total[[#This Row],[WA | Seattle]]/Sales_Closed[[#This Row],[WA | Seattle]]</f>
        <v>1.8185562015503876</v>
      </c>
    </row>
    <row r="42" spans="1:21" x14ac:dyDescent="0.25">
      <c r="A42" s="5">
        <v>41395</v>
      </c>
      <c r="B42" s="22">
        <f>Listings_Total[[#This Row],[National]]/Sales_Closed[[#This Row],[National]]</f>
        <v>2.3343904747722615</v>
      </c>
      <c r="C42" s="23">
        <f>Listings_Total[[#This Row],[AZ | Phoenix]]/Sales_Closed[[#This Row],[AZ | Phoenix]]</f>
        <v>1.6626457616991159</v>
      </c>
      <c r="D42" s="23">
        <f>Listings_Total[[#This Row],[CA | Inland Empire]]/Sales_Closed[[#This Row],[CA | Inland Empire]]</f>
        <v>1.3838303421738511</v>
      </c>
      <c r="E42" s="23">
        <f>Listings_Total[[#This Row],[CA | Los Angeles]]/Sales_Closed[[#This Row],[CA | Los Angeles]]</f>
        <v>1.2946232825626254</v>
      </c>
      <c r="F42" s="23">
        <f>Listings_Total[[#This Row],[CA | Sacramento]]/Sales_Closed[[#This Row],[CA | Sacramento]]</f>
        <v>1.0864502455975755</v>
      </c>
      <c r="G42" s="23">
        <f>Listings_Total[[#This Row],[CA | San Diego]]/Sales_Closed[[#This Row],[CA | San Diego]]</f>
        <v>1.3206884023682797</v>
      </c>
      <c r="H42" s="23">
        <f>Listings_Total[[#This Row],[CA | San Francisco]]/Sales_Closed[[#This Row],[CA | San Francisco]]</f>
        <v>0.97373464525743192</v>
      </c>
      <c r="I42" s="23">
        <f>Listings_Total[[#This Row],[CA | San Jose]]/Sales_Closed[[#This Row],[CA | San Jose]]</f>
        <v>0.88606116629712139</v>
      </c>
      <c r="J42" s="23">
        <f>Listings_Total[[#This Row],[CA | Ventura]]/Sales_Closed[[#This Row],[CA | Ventura]]</f>
        <v>1.342270937154177</v>
      </c>
      <c r="K42" s="23">
        <f>Listings_Total[[#This Row],[CO | Denver]]/Sales_Closed[[#This Row],[CO | Denver]]</f>
        <v>1.1719975628168582</v>
      </c>
      <c r="L42" s="23">
        <f>Listings_Total[[#This Row],[DC | Washington]]/Sales_Closed[[#This Row],[DC | Washington]]</f>
        <v>2.1268316313101705</v>
      </c>
      <c r="M42" s="23">
        <f>Listings_Total[[#This Row],[IL | Chicago]]/Sales_Closed[[#This Row],[IL | Chicago]]</f>
        <v>4.3647455866371478</v>
      </c>
      <c r="N42" s="23">
        <f>Listings_Total[[#This Row],[MA | Boston]]/Sales_Closed[[#This Row],[MA | Boston]]</f>
        <v>2.5070014800473106</v>
      </c>
      <c r="O42" s="23">
        <f>Listings_Total[[#This Row],[MD | Baltimore]]/Sales_Closed[[#This Row],[MD | Baltimore]]</f>
        <v>3.0825904602686993</v>
      </c>
      <c r="P42" s="23">
        <f>Listings_Total[[#This Row],[NV | Las Vegas]]/Sales_Closed[[#This Row],[NV | Las Vegas]]</f>
        <v>3.4475658217942109</v>
      </c>
      <c r="Q42" s="23">
        <f>Listings_Total[[#This Row],[NY | Long Island]]/Sales_Closed[[#This Row],[NY | Long Island]]</f>
        <v>6.4156909175253558</v>
      </c>
      <c r="R42" s="23">
        <f>Listings_Total[[#This Row],[OR | Portland]]/Sales_Closed[[#This Row],[OR | Portland]]</f>
        <v>2.1118575688196897</v>
      </c>
      <c r="S42" s="23">
        <f>Listings_Total[[#This Row],[PA | Philadelphia]]/Sales_Closed[[#This Row],[PA | Philadelphia]]</f>
        <v>5.5752525349876354</v>
      </c>
      <c r="T42" s="23">
        <f>Listings_Total[[#This Row],[TX | Austin]]/Sales_Closed[[#This Row],[TX | Austin]]</f>
        <v>1.8211365091146372</v>
      </c>
      <c r="U42" s="23">
        <f>Listings_Total[[#This Row],[WA | Seattle]]/Sales_Closed[[#This Row],[WA | Seattle]]</f>
        <v>1.6169181427174562</v>
      </c>
    </row>
    <row r="43" spans="1:21" x14ac:dyDescent="0.25">
      <c r="A43" s="10" t="s">
        <v>21</v>
      </c>
      <c r="B43" s="10">
        <f>B42/B30-1</f>
        <v>-0.3128013153908229</v>
      </c>
      <c r="C43" s="10">
        <f t="shared" ref="C43:U43" si="0">C42/C30-1</f>
        <v>6.7586784418630863E-2</v>
      </c>
      <c r="D43" s="10">
        <f t="shared" si="0"/>
        <v>-0.40470765652270557</v>
      </c>
      <c r="E43" s="10">
        <f t="shared" si="0"/>
        <v>-0.46551139142162279</v>
      </c>
      <c r="F43" s="10">
        <f t="shared" si="0"/>
        <v>-0.56233431810381673</v>
      </c>
      <c r="G43" s="10">
        <f t="shared" si="0"/>
        <v>-0.42400304309279602</v>
      </c>
      <c r="H43" s="10">
        <f t="shared" si="0"/>
        <v>-0.29336488858272136</v>
      </c>
      <c r="I43" s="10">
        <f t="shared" si="0"/>
        <v>-0.20691428865263384</v>
      </c>
      <c r="J43" s="10">
        <f t="shared" si="0"/>
        <v>-0.3697978255673845</v>
      </c>
      <c r="K43" s="10">
        <f t="shared" si="0"/>
        <v>-0.44402225108964211</v>
      </c>
      <c r="L43" s="10">
        <f t="shared" si="0"/>
        <v>-0.27992002133896821</v>
      </c>
      <c r="M43" s="10">
        <f t="shared" si="0"/>
        <v>-0.23127103473322252</v>
      </c>
      <c r="N43" s="10">
        <f t="shared" si="0"/>
        <v>-0.55998457229938858</v>
      </c>
      <c r="O43" s="10">
        <f t="shared" si="0"/>
        <v>-0.28353777986380391</v>
      </c>
      <c r="P43" s="10">
        <f t="shared" si="0"/>
        <v>-0.19587839083347536</v>
      </c>
      <c r="Q43" s="10">
        <f t="shared" si="0"/>
        <v>-0.50194082979115218</v>
      </c>
      <c r="R43" s="10">
        <f t="shared" si="0"/>
        <v>-0.38955495504460091</v>
      </c>
      <c r="S43" s="10">
        <f t="shared" si="0"/>
        <v>-0.28264705938429702</v>
      </c>
      <c r="T43" s="10">
        <f t="shared" si="0"/>
        <v>-0.43939326374325705</v>
      </c>
      <c r="U43" s="10">
        <f t="shared" si="0"/>
        <v>-0.45941288418529236</v>
      </c>
    </row>
    <row r="44" spans="1:21" x14ac:dyDescent="0.25">
      <c r="A44" s="10" t="s">
        <v>22</v>
      </c>
      <c r="B44" s="10">
        <f>B42/B41-1</f>
        <v>-9.889240654464504E-2</v>
      </c>
      <c r="C44" s="10">
        <f t="shared" ref="C44:U44" si="1">C42/C41-1</f>
        <v>-4.4358892126991845E-2</v>
      </c>
      <c r="D44" s="10">
        <f t="shared" si="1"/>
        <v>-0.12014204659220429</v>
      </c>
      <c r="E44" s="10">
        <f t="shared" si="1"/>
        <v>-8.612047505206033E-2</v>
      </c>
      <c r="F44" s="10">
        <f t="shared" si="1"/>
        <v>-7.4572861272311219E-2</v>
      </c>
      <c r="G44" s="10">
        <f t="shared" si="1"/>
        <v>-0.10814278561338886</v>
      </c>
      <c r="H44" s="10">
        <f t="shared" si="1"/>
        <v>-4.4952905363966789E-2</v>
      </c>
      <c r="I44" s="10">
        <f t="shared" si="1"/>
        <v>-8.7375915505447654E-3</v>
      </c>
      <c r="J44" s="10">
        <f t="shared" si="1"/>
        <v>-8.3260420088380638E-2</v>
      </c>
      <c r="K44" s="10">
        <f t="shared" si="1"/>
        <v>-0.14376450538944419</v>
      </c>
      <c r="L44" s="10">
        <f t="shared" si="1"/>
        <v>-0.16231879597048537</v>
      </c>
      <c r="M44" s="10">
        <f t="shared" si="1"/>
        <v>-1.1043378089516054E-2</v>
      </c>
      <c r="N44" s="10">
        <f t="shared" si="1"/>
        <v>-0.28249910857593341</v>
      </c>
      <c r="O44" s="10">
        <f t="shared" si="1"/>
        <v>-0.18375404775211646</v>
      </c>
      <c r="P44" s="10">
        <f t="shared" si="1"/>
        <v>-5.3956758048248399E-2</v>
      </c>
      <c r="Q44" s="10">
        <f t="shared" si="1"/>
        <v>-0.21629626246140687</v>
      </c>
      <c r="R44" s="10">
        <f t="shared" si="1"/>
        <v>-0.12365094082992467</v>
      </c>
      <c r="S44" s="10">
        <f t="shared" si="1"/>
        <v>-0.19263292321836423</v>
      </c>
      <c r="T44" s="10">
        <f t="shared" si="1"/>
        <v>-0.15391130288676025</v>
      </c>
      <c r="U44" s="10">
        <f t="shared" si="1"/>
        <v>-0.11087810135371534</v>
      </c>
    </row>
  </sheetData>
  <conditionalFormatting sqref="B43:U44">
    <cfRule type="expression" dxfId="11" priority="1">
      <formula>B43&lt;=-0.0005</formula>
    </cfRule>
    <cfRule type="expression" dxfId="10" priority="2">
      <formula>B43&gt;=0.0005</formula>
    </cfRule>
    <cfRule type="expression" dxfId="9" priority="3">
      <formula>B43&lt;0.0005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pane xSplit="1" ySplit="1" topLeftCell="B14" activePane="bottomRight" state="frozenSplit"/>
      <selection pane="topRight" activeCell="B1" sqref="B1"/>
      <selection pane="bottomLeft" activeCell="A2" sqref="A2"/>
      <selection pane="bottomRight" activeCell="B42" sqref="B42"/>
    </sheetView>
  </sheetViews>
  <sheetFormatPr defaultRowHeight="15" x14ac:dyDescent="0.25"/>
  <cols>
    <col min="1" max="1" width="7.5703125" style="9" bestFit="1" customWidth="1"/>
    <col min="2" max="2" width="9.140625" style="6" bestFit="1" customWidth="1"/>
    <col min="3" max="3" width="12.42578125" style="7" bestFit="1" customWidth="1"/>
    <col min="4" max="4" width="17.85546875" style="7" bestFit="1" customWidth="1"/>
    <col min="5" max="6" width="15.85546875" style="7" bestFit="1" customWidth="1"/>
    <col min="7" max="7" width="14.140625" style="7" bestFit="1" customWidth="1"/>
    <col min="8" max="8" width="17.28515625" style="7" bestFit="1" customWidth="1"/>
    <col min="9" max="9" width="12.7109375" style="7" bestFit="1" customWidth="1"/>
    <col min="10" max="10" width="12.42578125" style="7" bestFit="1" customWidth="1"/>
    <col min="11" max="11" width="11.85546875" style="7" bestFit="1" customWidth="1"/>
    <col min="12" max="12" width="16.140625" style="7" bestFit="1" customWidth="1"/>
    <col min="13" max="13" width="11.140625" style="7" bestFit="1" customWidth="1"/>
    <col min="14" max="14" width="12.140625" style="7" bestFit="1" customWidth="1"/>
    <col min="15" max="15" width="14.85546875" style="7" bestFit="1" customWidth="1"/>
    <col min="16" max="16" width="14.140625" style="7" bestFit="1" customWidth="1"/>
    <col min="17" max="17" width="15.42578125" style="7" bestFit="1" customWidth="1"/>
    <col min="18" max="18" width="13.140625" style="7" bestFit="1" customWidth="1"/>
    <col min="19" max="19" width="16.5703125" style="7" bestFit="1" customWidth="1"/>
    <col min="20" max="20" width="10.7109375" style="7" bestFit="1" customWidth="1"/>
    <col min="21" max="21" width="12.42578125" style="7" bestFit="1" customWidth="1"/>
    <col min="22" max="22" width="10.28515625" style="7" bestFit="1" customWidth="1"/>
    <col min="23" max="23" width="12.42578125" style="7" bestFit="1" customWidth="1"/>
    <col min="24" max="24" width="7" style="8" bestFit="1" customWidth="1"/>
    <col min="25" max="16384" width="9.140625" style="8"/>
  </cols>
  <sheetData>
    <row r="1" spans="1:23" s="4" customFormat="1" x14ac:dyDescent="0.25">
      <c r="A1" s="1" t="s">
        <v>0</v>
      </c>
      <c r="B1" s="2" t="s">
        <v>1</v>
      </c>
      <c r="C1" s="3" t="s">
        <v>8</v>
      </c>
      <c r="D1" s="3" t="s">
        <v>7</v>
      </c>
      <c r="E1" s="3" t="s">
        <v>2</v>
      </c>
      <c r="F1" s="3" t="s">
        <v>15</v>
      </c>
      <c r="G1" s="3" t="s">
        <v>11</v>
      </c>
      <c r="H1" s="3" t="s">
        <v>6</v>
      </c>
      <c r="I1" s="3" t="s">
        <v>18</v>
      </c>
      <c r="J1" s="3" t="s">
        <v>20</v>
      </c>
      <c r="K1" s="3" t="s">
        <v>14</v>
      </c>
      <c r="L1" s="3" t="s">
        <v>4</v>
      </c>
      <c r="M1" s="3" t="s">
        <v>3</v>
      </c>
      <c r="N1" s="3" t="s">
        <v>9</v>
      </c>
      <c r="O1" s="3" t="s">
        <v>13</v>
      </c>
      <c r="P1" s="3" t="s">
        <v>17</v>
      </c>
      <c r="Q1" s="3" t="s">
        <v>12</v>
      </c>
      <c r="R1" s="3" t="s">
        <v>16</v>
      </c>
      <c r="S1" s="3" t="s">
        <v>5</v>
      </c>
      <c r="T1" s="3" t="s">
        <v>19</v>
      </c>
      <c r="U1" s="3" t="s">
        <v>10</v>
      </c>
    </row>
    <row r="2" spans="1:23" x14ac:dyDescent="0.25">
      <c r="A2" s="5">
        <v>40179</v>
      </c>
      <c r="B2" s="6">
        <f>SUM(Listings_New[[#This Row],[AZ | Phoenix]:[WA | Seattle]])</f>
        <v>93243</v>
      </c>
      <c r="C2" s="7">
        <v>13598</v>
      </c>
      <c r="D2" s="7">
        <v>8906</v>
      </c>
      <c r="E2" s="7">
        <v>9811</v>
      </c>
      <c r="F2" s="7">
        <v>222</v>
      </c>
      <c r="G2" s="7">
        <v>3352</v>
      </c>
      <c r="H2" s="7">
        <v>4156</v>
      </c>
      <c r="I2" s="7">
        <v>1478</v>
      </c>
      <c r="J2" s="7">
        <v>894</v>
      </c>
      <c r="K2" s="7">
        <v>6141</v>
      </c>
      <c r="L2" s="7">
        <v>6654</v>
      </c>
      <c r="M2" s="7">
        <v>10241</v>
      </c>
      <c r="N2" s="7">
        <v>3041</v>
      </c>
      <c r="O2" s="7">
        <v>2450</v>
      </c>
      <c r="P2" s="7">
        <v>4387</v>
      </c>
      <c r="Q2" s="7">
        <v>4247</v>
      </c>
      <c r="R2" s="7">
        <v>4013</v>
      </c>
      <c r="T2" s="7">
        <v>2647</v>
      </c>
      <c r="U2" s="7">
        <v>7005</v>
      </c>
      <c r="V2" s="8"/>
      <c r="W2" s="8"/>
    </row>
    <row r="3" spans="1:23" x14ac:dyDescent="0.25">
      <c r="A3" s="5">
        <v>40210</v>
      </c>
      <c r="B3" s="6">
        <f>SUM(Listings_New[[#This Row],[AZ | Phoenix]:[WA | Seattle]])</f>
        <v>88574</v>
      </c>
      <c r="C3" s="7">
        <v>13098</v>
      </c>
      <c r="D3" s="7">
        <v>8508</v>
      </c>
      <c r="E3" s="7">
        <v>9778</v>
      </c>
      <c r="F3" s="7">
        <v>201</v>
      </c>
      <c r="G3" s="7">
        <v>3290</v>
      </c>
      <c r="H3" s="7">
        <v>4482</v>
      </c>
      <c r="I3" s="7">
        <v>1626</v>
      </c>
      <c r="J3" s="7">
        <v>930</v>
      </c>
      <c r="K3" s="7">
        <v>6665</v>
      </c>
      <c r="L3" s="7">
        <v>4663</v>
      </c>
      <c r="M3" s="7">
        <v>9421</v>
      </c>
      <c r="N3" s="7">
        <v>3553</v>
      </c>
      <c r="O3" s="7">
        <v>1738</v>
      </c>
      <c r="P3" s="7">
        <v>4145</v>
      </c>
      <c r="Q3" s="7">
        <v>3382</v>
      </c>
      <c r="R3" s="7">
        <v>4051</v>
      </c>
      <c r="T3" s="7">
        <v>2887</v>
      </c>
      <c r="U3" s="7">
        <v>6156</v>
      </c>
      <c r="V3" s="8"/>
      <c r="W3" s="8"/>
    </row>
    <row r="4" spans="1:23" x14ac:dyDescent="0.25">
      <c r="A4" s="5">
        <v>40238</v>
      </c>
      <c r="B4" s="6">
        <f>SUM(Listings_New[[#This Row],[AZ | Phoenix]:[WA | Seattle]])</f>
        <v>117530</v>
      </c>
      <c r="C4" s="7">
        <v>14441</v>
      </c>
      <c r="D4" s="7">
        <v>10022</v>
      </c>
      <c r="E4" s="7">
        <v>12455</v>
      </c>
      <c r="F4" s="7">
        <v>260</v>
      </c>
      <c r="G4" s="7">
        <v>4001</v>
      </c>
      <c r="H4" s="7">
        <v>5946</v>
      </c>
      <c r="I4" s="7">
        <v>2158</v>
      </c>
      <c r="J4" s="7">
        <v>1219</v>
      </c>
      <c r="K4" s="7">
        <v>8403</v>
      </c>
      <c r="L4" s="7">
        <v>9912</v>
      </c>
      <c r="M4" s="7">
        <v>12756</v>
      </c>
      <c r="N4" s="7">
        <v>5472</v>
      </c>
      <c r="O4" s="7">
        <v>3752</v>
      </c>
      <c r="P4" s="7">
        <v>4651</v>
      </c>
      <c r="Q4" s="7">
        <v>4772</v>
      </c>
      <c r="R4" s="7">
        <v>5407</v>
      </c>
      <c r="T4" s="7">
        <v>3942</v>
      </c>
      <c r="U4" s="7">
        <v>7961</v>
      </c>
      <c r="V4" s="8"/>
      <c r="W4" s="8"/>
    </row>
    <row r="5" spans="1:23" x14ac:dyDescent="0.25">
      <c r="A5" s="5">
        <v>40269</v>
      </c>
      <c r="B5" s="6">
        <f>SUM(Listings_New[[#This Row],[AZ | Phoenix]:[WA | Seattle]])</f>
        <v>113630</v>
      </c>
      <c r="C5" s="7">
        <v>13446</v>
      </c>
      <c r="D5" s="7">
        <v>9761</v>
      </c>
      <c r="E5" s="7">
        <v>11817</v>
      </c>
      <c r="F5" s="7">
        <v>303</v>
      </c>
      <c r="G5" s="7">
        <v>3804</v>
      </c>
      <c r="H5" s="7">
        <v>5891</v>
      </c>
      <c r="I5" s="7">
        <v>2138</v>
      </c>
      <c r="J5" s="7">
        <v>1070</v>
      </c>
      <c r="K5" s="7">
        <v>8969</v>
      </c>
      <c r="L5" s="7">
        <v>9346</v>
      </c>
      <c r="M5" s="7">
        <v>11601</v>
      </c>
      <c r="N5" s="7">
        <v>5363</v>
      </c>
      <c r="O5" s="7">
        <v>3793</v>
      </c>
      <c r="P5" s="7">
        <v>4843</v>
      </c>
      <c r="Q5" s="7">
        <v>4867</v>
      </c>
      <c r="R5" s="7">
        <v>4999</v>
      </c>
      <c r="T5" s="7">
        <v>4283</v>
      </c>
      <c r="U5" s="7">
        <v>7336</v>
      </c>
      <c r="V5" s="8"/>
      <c r="W5" s="8"/>
    </row>
    <row r="6" spans="1:23" x14ac:dyDescent="0.25">
      <c r="A6" s="5">
        <v>40299</v>
      </c>
      <c r="B6" s="6">
        <f>SUM(Listings_New[[#This Row],[AZ | Phoenix]:[WA | Seattle]])</f>
        <v>93129</v>
      </c>
      <c r="C6" s="7">
        <v>11277</v>
      </c>
      <c r="D6" s="7">
        <v>8828</v>
      </c>
      <c r="E6" s="7">
        <v>10570</v>
      </c>
      <c r="F6" s="7">
        <v>250</v>
      </c>
      <c r="G6" s="7">
        <v>3487</v>
      </c>
      <c r="H6" s="7">
        <v>4975</v>
      </c>
      <c r="I6" s="7">
        <v>1784</v>
      </c>
      <c r="J6" s="7">
        <v>1011</v>
      </c>
      <c r="K6" s="7">
        <v>6151</v>
      </c>
      <c r="L6" s="7">
        <v>7196</v>
      </c>
      <c r="M6" s="7">
        <v>9844</v>
      </c>
      <c r="N6" s="7">
        <v>4041</v>
      </c>
      <c r="O6" s="7">
        <v>2922</v>
      </c>
      <c r="P6" s="7">
        <v>4545</v>
      </c>
      <c r="Q6" s="7">
        <v>4054</v>
      </c>
      <c r="R6" s="7">
        <v>3636</v>
      </c>
      <c r="T6" s="7">
        <v>2927</v>
      </c>
      <c r="U6" s="7">
        <v>5631</v>
      </c>
      <c r="V6" s="8"/>
      <c r="W6" s="8"/>
    </row>
    <row r="7" spans="1:23" x14ac:dyDescent="0.25">
      <c r="A7" s="5">
        <v>40330</v>
      </c>
      <c r="B7" s="6">
        <f>SUM(Listings_New[[#This Row],[AZ | Phoenix]:[WA | Seattle]])</f>
        <v>100483</v>
      </c>
      <c r="C7" s="7">
        <v>11976</v>
      </c>
      <c r="D7" s="7">
        <v>8912</v>
      </c>
      <c r="E7" s="7">
        <v>11380</v>
      </c>
      <c r="F7" s="7">
        <v>161</v>
      </c>
      <c r="G7" s="7">
        <v>3744</v>
      </c>
      <c r="H7" s="7">
        <v>5464</v>
      </c>
      <c r="I7" s="7">
        <v>2008</v>
      </c>
      <c r="J7" s="7">
        <v>1045</v>
      </c>
      <c r="K7" s="7">
        <v>7261</v>
      </c>
      <c r="L7" s="7">
        <v>7540</v>
      </c>
      <c r="M7" s="7">
        <v>10278</v>
      </c>
      <c r="N7" s="7">
        <v>4384</v>
      </c>
      <c r="O7" s="7">
        <v>3066</v>
      </c>
      <c r="P7" s="7">
        <v>5465</v>
      </c>
      <c r="Q7" s="7">
        <v>4240</v>
      </c>
      <c r="R7" s="7">
        <v>4167</v>
      </c>
      <c r="T7" s="7">
        <v>3206</v>
      </c>
      <c r="U7" s="7">
        <v>6186</v>
      </c>
      <c r="V7" s="8"/>
      <c r="W7" s="8"/>
    </row>
    <row r="8" spans="1:23" x14ac:dyDescent="0.25">
      <c r="A8" s="5">
        <v>40360</v>
      </c>
      <c r="B8" s="6">
        <f>SUM(Listings_New[[#This Row],[AZ | Phoenix]:[WA | Seattle]])</f>
        <v>99898</v>
      </c>
      <c r="C8" s="7">
        <v>12381</v>
      </c>
      <c r="D8" s="7">
        <v>8717</v>
      </c>
      <c r="E8" s="7">
        <v>11528</v>
      </c>
      <c r="F8" s="7">
        <v>221</v>
      </c>
      <c r="G8" s="7">
        <v>3558</v>
      </c>
      <c r="H8" s="7">
        <v>5430</v>
      </c>
      <c r="I8" s="7">
        <v>1883</v>
      </c>
      <c r="J8" s="7">
        <v>1113</v>
      </c>
      <c r="K8" s="7">
        <v>6990</v>
      </c>
      <c r="L8" s="7">
        <v>7208</v>
      </c>
      <c r="M8" s="7">
        <v>9866</v>
      </c>
      <c r="N8" s="7">
        <v>3675</v>
      </c>
      <c r="O8" s="7">
        <v>2860</v>
      </c>
      <c r="P8" s="7">
        <v>6472</v>
      </c>
      <c r="Q8" s="7">
        <v>3922</v>
      </c>
      <c r="R8" s="7">
        <v>4312</v>
      </c>
      <c r="T8" s="7">
        <v>3315</v>
      </c>
      <c r="U8" s="7">
        <v>6447</v>
      </c>
      <c r="V8" s="8"/>
      <c r="W8" s="8"/>
    </row>
    <row r="9" spans="1:23" x14ac:dyDescent="0.25">
      <c r="A9" s="5">
        <v>40391</v>
      </c>
      <c r="B9" s="6">
        <f>SUM(Listings_New[[#This Row],[AZ | Phoenix]:[WA | Seattle]])</f>
        <v>96695</v>
      </c>
      <c r="C9" s="7">
        <v>13032</v>
      </c>
      <c r="D9" s="7">
        <v>9154</v>
      </c>
      <c r="E9" s="7">
        <v>11000</v>
      </c>
      <c r="F9" s="7">
        <v>202</v>
      </c>
      <c r="G9" s="7">
        <v>3527</v>
      </c>
      <c r="H9" s="7">
        <v>5278</v>
      </c>
      <c r="I9" s="7">
        <v>1779</v>
      </c>
      <c r="J9" s="7">
        <v>978</v>
      </c>
      <c r="K9" s="7">
        <v>6689</v>
      </c>
      <c r="L9" s="7">
        <v>6560</v>
      </c>
      <c r="M9" s="7">
        <v>9292</v>
      </c>
      <c r="N9" s="7">
        <v>3351</v>
      </c>
      <c r="O9" s="7">
        <v>2692</v>
      </c>
      <c r="P9" s="7">
        <v>6751</v>
      </c>
      <c r="Q9" s="7">
        <v>3761</v>
      </c>
      <c r="R9" s="7">
        <v>4164</v>
      </c>
      <c r="T9" s="7">
        <v>2608</v>
      </c>
      <c r="U9" s="7">
        <v>5877</v>
      </c>
      <c r="V9" s="8"/>
      <c r="W9" s="8"/>
    </row>
    <row r="10" spans="1:23" x14ac:dyDescent="0.25">
      <c r="A10" s="5">
        <v>40422</v>
      </c>
      <c r="B10" s="6">
        <f>SUM(Listings_New[[#This Row],[AZ | Phoenix]:[WA | Seattle]])</f>
        <v>93656</v>
      </c>
      <c r="C10" s="7">
        <v>12466</v>
      </c>
      <c r="D10" s="7">
        <v>8999</v>
      </c>
      <c r="E10" s="7">
        <v>10662</v>
      </c>
      <c r="F10" s="7">
        <v>364</v>
      </c>
      <c r="G10" s="7">
        <v>3385</v>
      </c>
      <c r="H10" s="7">
        <v>5442</v>
      </c>
      <c r="I10" s="7">
        <v>1692</v>
      </c>
      <c r="J10" s="7">
        <v>858</v>
      </c>
      <c r="K10" s="7">
        <v>5989</v>
      </c>
      <c r="L10" s="7">
        <v>6635</v>
      </c>
      <c r="M10" s="7">
        <v>8807</v>
      </c>
      <c r="N10" s="7">
        <v>4094</v>
      </c>
      <c r="O10" s="7">
        <v>2635</v>
      </c>
      <c r="P10" s="7">
        <v>6292</v>
      </c>
      <c r="Q10" s="7">
        <v>3480</v>
      </c>
      <c r="R10" s="7">
        <v>3792</v>
      </c>
      <c r="T10" s="7">
        <v>2401</v>
      </c>
      <c r="U10" s="7">
        <v>5663</v>
      </c>
      <c r="V10" s="8"/>
      <c r="W10" s="8"/>
    </row>
    <row r="11" spans="1:23" x14ac:dyDescent="0.25">
      <c r="A11" s="5">
        <v>40452</v>
      </c>
      <c r="B11" s="6">
        <f>SUM(Listings_New[[#This Row],[AZ | Phoenix]:[WA | Seattle]])</f>
        <v>85715</v>
      </c>
      <c r="C11" s="7">
        <v>11686</v>
      </c>
      <c r="D11" s="7">
        <v>8926</v>
      </c>
      <c r="E11" s="7">
        <v>9494</v>
      </c>
      <c r="F11" s="7">
        <v>419</v>
      </c>
      <c r="G11" s="7">
        <v>3007</v>
      </c>
      <c r="H11" s="7">
        <v>4665</v>
      </c>
      <c r="I11" s="7">
        <v>1429</v>
      </c>
      <c r="J11" s="7">
        <v>823</v>
      </c>
      <c r="K11" s="7">
        <v>5147</v>
      </c>
      <c r="L11" s="7">
        <v>5975</v>
      </c>
      <c r="M11" s="7">
        <v>7935</v>
      </c>
      <c r="N11" s="7">
        <v>3175</v>
      </c>
      <c r="O11" s="7">
        <v>2385</v>
      </c>
      <c r="P11" s="7">
        <v>6208</v>
      </c>
      <c r="Q11" s="7">
        <v>3246</v>
      </c>
      <c r="R11" s="7">
        <v>3424</v>
      </c>
      <c r="T11" s="7">
        <v>2449</v>
      </c>
      <c r="U11" s="7">
        <v>5322</v>
      </c>
      <c r="V11" s="8"/>
      <c r="W11" s="8"/>
    </row>
    <row r="12" spans="1:23" x14ac:dyDescent="0.25">
      <c r="A12" s="5">
        <v>40483</v>
      </c>
      <c r="B12" s="6">
        <f>SUM(Listings_New[[#This Row],[AZ | Phoenix]:[WA | Seattle]])</f>
        <v>70114</v>
      </c>
      <c r="C12" s="7">
        <v>10677</v>
      </c>
      <c r="D12" s="7">
        <v>7760</v>
      </c>
      <c r="E12" s="7">
        <v>8236</v>
      </c>
      <c r="F12" s="7">
        <v>235</v>
      </c>
      <c r="G12" s="7">
        <v>2659</v>
      </c>
      <c r="H12" s="7">
        <v>3598</v>
      </c>
      <c r="I12" s="7">
        <v>1168</v>
      </c>
      <c r="J12" s="7">
        <v>704</v>
      </c>
      <c r="K12" s="7">
        <v>4082</v>
      </c>
      <c r="L12" s="7">
        <v>4747</v>
      </c>
      <c r="M12" s="7">
        <v>6406</v>
      </c>
      <c r="N12" s="7">
        <v>2168</v>
      </c>
      <c r="O12" s="7">
        <v>1938</v>
      </c>
      <c r="P12" s="7">
        <v>4734</v>
      </c>
      <c r="Q12" s="7">
        <v>2641</v>
      </c>
      <c r="R12" s="7">
        <v>2479</v>
      </c>
      <c r="T12" s="7">
        <v>1783</v>
      </c>
      <c r="U12" s="7">
        <v>4099</v>
      </c>
      <c r="V12" s="8"/>
      <c r="W12" s="8"/>
    </row>
    <row r="13" spans="1:23" x14ac:dyDescent="0.25">
      <c r="A13" s="5">
        <v>40513</v>
      </c>
      <c r="B13" s="6">
        <f>SUM(Listings_New[[#This Row],[AZ | Phoenix]:[WA | Seattle]])</f>
        <v>63253</v>
      </c>
      <c r="C13" s="7">
        <v>10310</v>
      </c>
      <c r="D13" s="7">
        <v>7426</v>
      </c>
      <c r="E13" s="7">
        <v>7360</v>
      </c>
      <c r="F13" s="7">
        <v>535</v>
      </c>
      <c r="G13" s="7">
        <v>2452</v>
      </c>
      <c r="H13" s="7">
        <v>3048</v>
      </c>
      <c r="I13" s="7">
        <v>961</v>
      </c>
      <c r="J13" s="7">
        <v>661</v>
      </c>
      <c r="K13" s="7">
        <v>3486</v>
      </c>
      <c r="L13" s="7">
        <v>4022</v>
      </c>
      <c r="M13" s="7">
        <v>5739</v>
      </c>
      <c r="N13" s="7">
        <v>1487</v>
      </c>
      <c r="O13" s="7">
        <v>1539</v>
      </c>
      <c r="P13" s="7">
        <v>5001</v>
      </c>
      <c r="Q13" s="7">
        <v>1841</v>
      </c>
      <c r="R13" s="7">
        <v>2128</v>
      </c>
      <c r="T13" s="7">
        <v>1557</v>
      </c>
      <c r="U13" s="7">
        <v>3700</v>
      </c>
      <c r="V13" s="8"/>
      <c r="W13" s="8"/>
    </row>
    <row r="14" spans="1:23" x14ac:dyDescent="0.25">
      <c r="A14" s="5">
        <v>40544</v>
      </c>
      <c r="B14" s="6">
        <f>SUM(Listings_New[[#This Row],[AZ | Phoenix]:[WA | Seattle]])</f>
        <v>91819</v>
      </c>
      <c r="C14" s="7">
        <v>14211</v>
      </c>
      <c r="D14" s="7">
        <v>9890</v>
      </c>
      <c r="E14" s="7">
        <v>11366</v>
      </c>
      <c r="F14" s="7">
        <v>896</v>
      </c>
      <c r="G14" s="7">
        <v>3963</v>
      </c>
      <c r="H14" s="7">
        <v>4815</v>
      </c>
      <c r="I14" s="7">
        <v>1504</v>
      </c>
      <c r="J14" s="7">
        <v>1048</v>
      </c>
      <c r="K14" s="7">
        <v>5364</v>
      </c>
      <c r="L14" s="7">
        <v>5333</v>
      </c>
      <c r="M14" s="7">
        <v>8083</v>
      </c>
      <c r="N14" s="7">
        <v>2287</v>
      </c>
      <c r="O14" s="7">
        <v>2027</v>
      </c>
      <c r="P14" s="7">
        <v>6254</v>
      </c>
      <c r="Q14" s="7">
        <v>3411</v>
      </c>
      <c r="R14" s="7">
        <v>3399</v>
      </c>
      <c r="T14" s="7">
        <v>2359</v>
      </c>
      <c r="U14" s="7">
        <v>5609</v>
      </c>
      <c r="V14" s="8"/>
      <c r="W14" s="8"/>
    </row>
    <row r="15" spans="1:23" x14ac:dyDescent="0.25">
      <c r="A15" s="5">
        <v>40575</v>
      </c>
      <c r="B15" s="6">
        <f>SUM(Listings_New[[#This Row],[AZ | Phoenix]:[WA | Seattle]])</f>
        <v>84923</v>
      </c>
      <c r="C15" s="7">
        <v>12373</v>
      </c>
      <c r="D15" s="7">
        <v>8909</v>
      </c>
      <c r="E15" s="7">
        <v>10812</v>
      </c>
      <c r="F15" s="7">
        <v>1005</v>
      </c>
      <c r="G15" s="7">
        <v>3493</v>
      </c>
      <c r="H15" s="7">
        <v>5071</v>
      </c>
      <c r="I15" s="7">
        <v>1549</v>
      </c>
      <c r="J15" s="7">
        <v>832</v>
      </c>
      <c r="K15" s="7">
        <v>4936</v>
      </c>
      <c r="L15" s="7">
        <v>5393</v>
      </c>
      <c r="M15" s="7">
        <v>7292</v>
      </c>
      <c r="N15" s="7">
        <v>2274</v>
      </c>
      <c r="O15" s="7">
        <v>2021</v>
      </c>
      <c r="P15" s="7">
        <v>5322</v>
      </c>
      <c r="Q15" s="7">
        <v>3023</v>
      </c>
      <c r="R15" s="7">
        <v>3096</v>
      </c>
      <c r="T15" s="7">
        <v>2352</v>
      </c>
      <c r="U15" s="7">
        <v>5170</v>
      </c>
      <c r="V15" s="8"/>
      <c r="W15" s="8"/>
    </row>
    <row r="16" spans="1:23" x14ac:dyDescent="0.25">
      <c r="A16" s="5">
        <v>40603</v>
      </c>
      <c r="B16" s="6">
        <f>SUM(Listings_New[[#This Row],[AZ | Phoenix]:[WA | Seattle]])</f>
        <v>104664</v>
      </c>
      <c r="C16" s="7">
        <v>12552</v>
      </c>
      <c r="D16" s="7">
        <v>9820</v>
      </c>
      <c r="E16" s="7">
        <v>12259</v>
      </c>
      <c r="F16" s="7">
        <v>912</v>
      </c>
      <c r="G16" s="7">
        <v>4109</v>
      </c>
      <c r="H16" s="7">
        <v>5800</v>
      </c>
      <c r="I16" s="7">
        <v>1820</v>
      </c>
      <c r="J16" s="7">
        <v>1020</v>
      </c>
      <c r="K16" s="7">
        <v>7138</v>
      </c>
      <c r="L16" s="7">
        <v>7238</v>
      </c>
      <c r="M16" s="7">
        <v>10748</v>
      </c>
      <c r="N16" s="7">
        <v>4637</v>
      </c>
      <c r="O16" s="7">
        <v>2894</v>
      </c>
      <c r="P16" s="7">
        <v>6167</v>
      </c>
      <c r="Q16" s="7">
        <v>4631</v>
      </c>
      <c r="R16" s="7">
        <v>3423</v>
      </c>
      <c r="T16" s="7">
        <v>3442</v>
      </c>
      <c r="U16" s="7">
        <v>6054</v>
      </c>
      <c r="V16" s="8"/>
      <c r="W16" s="8"/>
    </row>
    <row r="17" spans="1:23" x14ac:dyDescent="0.25">
      <c r="A17" s="5">
        <v>40634</v>
      </c>
      <c r="B17" s="6">
        <f>SUM(Listings_New[[#This Row],[AZ | Phoenix]:[WA | Seattle]])</f>
        <v>99369</v>
      </c>
      <c r="C17" s="7">
        <v>11426</v>
      </c>
      <c r="D17" s="7">
        <v>8771</v>
      </c>
      <c r="E17" s="7">
        <v>11312</v>
      </c>
      <c r="F17" s="7">
        <v>867</v>
      </c>
      <c r="G17" s="7">
        <v>3748</v>
      </c>
      <c r="H17" s="7">
        <v>5555</v>
      </c>
      <c r="I17" s="7">
        <v>1827</v>
      </c>
      <c r="J17" s="7">
        <v>985</v>
      </c>
      <c r="K17" s="7">
        <v>7068</v>
      </c>
      <c r="L17" s="7">
        <v>6891</v>
      </c>
      <c r="M17" s="7">
        <v>9999</v>
      </c>
      <c r="N17" s="7">
        <v>5001</v>
      </c>
      <c r="O17" s="7">
        <v>2798</v>
      </c>
      <c r="P17" s="7">
        <v>6220</v>
      </c>
      <c r="Q17" s="7">
        <v>4099</v>
      </c>
      <c r="R17" s="7">
        <v>3424</v>
      </c>
      <c r="T17" s="7">
        <v>3268</v>
      </c>
      <c r="U17" s="7">
        <v>6110</v>
      </c>
      <c r="V17" s="8"/>
      <c r="W17" s="8"/>
    </row>
    <row r="18" spans="1:23" x14ac:dyDescent="0.25">
      <c r="A18" s="5">
        <v>40664</v>
      </c>
      <c r="B18" s="6">
        <f>SUM(Listings_New[[#This Row],[AZ | Phoenix]:[WA | Seattle]])</f>
        <v>99420</v>
      </c>
      <c r="C18" s="7">
        <v>11096</v>
      </c>
      <c r="D18" s="7">
        <v>8794</v>
      </c>
      <c r="E18" s="7">
        <v>11499</v>
      </c>
      <c r="F18" s="7">
        <v>889</v>
      </c>
      <c r="G18" s="7">
        <v>3888</v>
      </c>
      <c r="H18" s="7">
        <v>5453</v>
      </c>
      <c r="I18" s="7">
        <v>1840</v>
      </c>
      <c r="J18" s="7">
        <v>1031</v>
      </c>
      <c r="K18" s="7">
        <v>6623</v>
      </c>
      <c r="L18" s="7">
        <v>6359</v>
      </c>
      <c r="M18" s="7">
        <v>10135</v>
      </c>
      <c r="N18" s="7">
        <v>4827</v>
      </c>
      <c r="O18" s="7">
        <v>2872</v>
      </c>
      <c r="P18" s="7">
        <v>6828</v>
      </c>
      <c r="Q18" s="7">
        <v>4377</v>
      </c>
      <c r="R18" s="7">
        <v>3724</v>
      </c>
      <c r="T18" s="7">
        <v>3149</v>
      </c>
      <c r="U18" s="7">
        <v>6036</v>
      </c>
      <c r="V18" s="8"/>
      <c r="W18" s="8"/>
    </row>
    <row r="19" spans="1:23" x14ac:dyDescent="0.25">
      <c r="A19" s="5">
        <v>40695</v>
      </c>
      <c r="B19" s="6">
        <f>SUM(Listings_New[[#This Row],[AZ | Phoenix]:[WA | Seattle]])</f>
        <v>96496</v>
      </c>
      <c r="C19" s="7">
        <v>10869</v>
      </c>
      <c r="D19" s="7">
        <v>8880</v>
      </c>
      <c r="E19" s="7">
        <v>11790</v>
      </c>
      <c r="F19" s="7">
        <v>959</v>
      </c>
      <c r="G19" s="7">
        <v>3866</v>
      </c>
      <c r="H19" s="7">
        <v>5417</v>
      </c>
      <c r="I19" s="7">
        <v>1759</v>
      </c>
      <c r="J19" s="7">
        <v>993</v>
      </c>
      <c r="K19" s="7">
        <v>6527</v>
      </c>
      <c r="L19" s="7">
        <v>5920</v>
      </c>
      <c r="M19" s="7">
        <v>9638</v>
      </c>
      <c r="N19" s="7">
        <v>4272</v>
      </c>
      <c r="O19" s="7">
        <v>2448</v>
      </c>
      <c r="P19" s="7">
        <v>6447</v>
      </c>
      <c r="Q19" s="7">
        <v>3926</v>
      </c>
      <c r="R19" s="7">
        <v>3533</v>
      </c>
      <c r="T19" s="7">
        <v>3083</v>
      </c>
      <c r="U19" s="7">
        <v>6169</v>
      </c>
      <c r="V19" s="8"/>
      <c r="W19" s="8"/>
    </row>
    <row r="20" spans="1:23" x14ac:dyDescent="0.25">
      <c r="A20" s="5">
        <v>40725</v>
      </c>
      <c r="B20" s="6">
        <f>SUM(Listings_New[[#This Row],[AZ | Phoenix]:[WA | Seattle]])</f>
        <v>86672</v>
      </c>
      <c r="C20" s="7">
        <v>9571</v>
      </c>
      <c r="D20" s="7">
        <v>8032</v>
      </c>
      <c r="E20" s="7">
        <v>11029</v>
      </c>
      <c r="F20" s="7">
        <v>801</v>
      </c>
      <c r="G20" s="7">
        <v>3504</v>
      </c>
      <c r="H20" s="7">
        <v>5022</v>
      </c>
      <c r="I20" s="7">
        <v>1674</v>
      </c>
      <c r="J20" s="7">
        <v>880</v>
      </c>
      <c r="K20" s="7">
        <v>5567</v>
      </c>
      <c r="L20" s="7">
        <v>5101</v>
      </c>
      <c r="M20" s="7">
        <v>8869</v>
      </c>
      <c r="N20" s="7">
        <v>3295</v>
      </c>
      <c r="O20" s="7">
        <v>2144</v>
      </c>
      <c r="P20" s="7">
        <v>5809</v>
      </c>
      <c r="Q20" s="7">
        <v>3394</v>
      </c>
      <c r="R20" s="7">
        <v>3286</v>
      </c>
      <c r="T20" s="7">
        <v>2798</v>
      </c>
      <c r="U20" s="7">
        <v>5896</v>
      </c>
      <c r="V20" s="8"/>
      <c r="W20" s="8"/>
    </row>
    <row r="21" spans="1:23" x14ac:dyDescent="0.25">
      <c r="A21" s="5">
        <v>40756</v>
      </c>
      <c r="B21" s="6">
        <f>SUM(Listings_New[[#This Row],[AZ | Phoenix]:[WA | Seattle]])</f>
        <v>85830</v>
      </c>
      <c r="C21" s="7">
        <v>10202</v>
      </c>
      <c r="D21" s="7">
        <v>8407</v>
      </c>
      <c r="E21" s="7">
        <v>10939</v>
      </c>
      <c r="F21" s="7">
        <v>803</v>
      </c>
      <c r="G21" s="7">
        <v>3545</v>
      </c>
      <c r="H21" s="7">
        <v>4875</v>
      </c>
      <c r="I21" s="7">
        <v>1526</v>
      </c>
      <c r="J21" s="7">
        <v>973</v>
      </c>
      <c r="K21" s="7">
        <v>5441</v>
      </c>
      <c r="L21" s="7">
        <v>4716</v>
      </c>
      <c r="M21" s="7">
        <v>8771</v>
      </c>
      <c r="N21" s="7">
        <v>3320</v>
      </c>
      <c r="O21" s="7">
        <v>1997</v>
      </c>
      <c r="P21" s="7">
        <v>5831</v>
      </c>
      <c r="Q21" s="7">
        <v>3095</v>
      </c>
      <c r="R21" s="7">
        <v>3278</v>
      </c>
      <c r="T21" s="7">
        <v>2402</v>
      </c>
      <c r="U21" s="7">
        <v>5709</v>
      </c>
      <c r="V21" s="8"/>
      <c r="W21" s="8"/>
    </row>
    <row r="22" spans="1:23" x14ac:dyDescent="0.25">
      <c r="A22" s="5">
        <v>40787</v>
      </c>
      <c r="B22" s="6">
        <f>SUM(Listings_New[[#This Row],[AZ | Phoenix]:[WA | Seattle]])</f>
        <v>80984</v>
      </c>
      <c r="C22" s="7">
        <v>9469</v>
      </c>
      <c r="D22" s="7">
        <v>7980</v>
      </c>
      <c r="E22" s="7">
        <v>10291</v>
      </c>
      <c r="F22" s="7">
        <v>772</v>
      </c>
      <c r="G22" s="7">
        <v>3177</v>
      </c>
      <c r="H22" s="7">
        <v>4895</v>
      </c>
      <c r="I22" s="7">
        <v>1474</v>
      </c>
      <c r="J22" s="7">
        <v>816</v>
      </c>
      <c r="K22" s="7">
        <v>4973</v>
      </c>
      <c r="L22" s="7">
        <v>4832</v>
      </c>
      <c r="M22" s="7">
        <v>8204</v>
      </c>
      <c r="N22" s="7">
        <v>3904</v>
      </c>
      <c r="O22" s="7">
        <v>1880</v>
      </c>
      <c r="P22" s="7">
        <v>5032</v>
      </c>
      <c r="Q22" s="7">
        <v>3100</v>
      </c>
      <c r="R22" s="7">
        <v>2827</v>
      </c>
      <c r="T22" s="7">
        <v>2235</v>
      </c>
      <c r="U22" s="7">
        <v>5123</v>
      </c>
      <c r="V22" s="8"/>
      <c r="W22" s="8"/>
    </row>
    <row r="23" spans="1:23" x14ac:dyDescent="0.25">
      <c r="A23" s="5">
        <v>40817</v>
      </c>
      <c r="B23" s="6">
        <f>SUM(Listings_New[[#This Row],[AZ | Phoenix]:[WA | Seattle]])</f>
        <v>75166</v>
      </c>
      <c r="C23" s="7">
        <v>9327</v>
      </c>
      <c r="D23" s="7">
        <v>7410</v>
      </c>
      <c r="E23" s="7">
        <v>9405</v>
      </c>
      <c r="F23" s="7">
        <v>597</v>
      </c>
      <c r="G23" s="7">
        <v>3131</v>
      </c>
      <c r="H23" s="7">
        <v>4340</v>
      </c>
      <c r="I23" s="7">
        <v>1347</v>
      </c>
      <c r="J23" s="7">
        <v>798</v>
      </c>
      <c r="K23" s="7">
        <v>4255</v>
      </c>
      <c r="L23" s="7">
        <v>4382</v>
      </c>
      <c r="M23" s="7">
        <v>7674</v>
      </c>
      <c r="N23" s="7">
        <v>3124</v>
      </c>
      <c r="O23" s="7">
        <v>1891</v>
      </c>
      <c r="P23" s="7">
        <v>4786</v>
      </c>
      <c r="Q23" s="7">
        <v>3012</v>
      </c>
      <c r="R23" s="7">
        <v>2940</v>
      </c>
      <c r="T23" s="7">
        <v>2194</v>
      </c>
      <c r="U23" s="7">
        <v>4553</v>
      </c>
      <c r="V23" s="8"/>
      <c r="W23" s="8"/>
    </row>
    <row r="24" spans="1:23" x14ac:dyDescent="0.25">
      <c r="A24" s="5">
        <v>40848</v>
      </c>
      <c r="B24" s="6">
        <f>SUM(Listings_New[[#This Row],[AZ | Phoenix]:[WA | Seattle]])</f>
        <v>63852</v>
      </c>
      <c r="C24" s="7">
        <v>8449</v>
      </c>
      <c r="D24" s="7">
        <v>6885</v>
      </c>
      <c r="E24" s="7">
        <v>8294</v>
      </c>
      <c r="F24" s="7">
        <v>565</v>
      </c>
      <c r="G24" s="7">
        <v>2669</v>
      </c>
      <c r="H24" s="7">
        <v>3418</v>
      </c>
      <c r="I24" s="7">
        <v>1091</v>
      </c>
      <c r="J24" s="7">
        <v>740</v>
      </c>
      <c r="K24" s="7">
        <v>3307</v>
      </c>
      <c r="L24" s="7">
        <v>3468</v>
      </c>
      <c r="M24" s="7">
        <v>6516</v>
      </c>
      <c r="N24" s="7">
        <v>2121</v>
      </c>
      <c r="O24" s="7">
        <v>1389</v>
      </c>
      <c r="P24" s="7">
        <v>4426</v>
      </c>
      <c r="Q24" s="7">
        <v>2349</v>
      </c>
      <c r="R24" s="7">
        <v>2492</v>
      </c>
      <c r="T24" s="7">
        <v>1825</v>
      </c>
      <c r="U24" s="7">
        <v>3848</v>
      </c>
      <c r="V24" s="8"/>
      <c r="W24" s="8"/>
    </row>
    <row r="25" spans="1:23" x14ac:dyDescent="0.25">
      <c r="A25" s="5">
        <v>40878</v>
      </c>
      <c r="B25" s="6">
        <f>SUM(Listings_New[[#This Row],[AZ | Phoenix]:[WA | Seattle]])</f>
        <v>56974</v>
      </c>
      <c r="C25" s="7">
        <v>7868</v>
      </c>
      <c r="D25" s="7">
        <v>6400</v>
      </c>
      <c r="E25" s="7">
        <v>7111</v>
      </c>
      <c r="F25" s="7">
        <v>888</v>
      </c>
      <c r="G25" s="7">
        <v>2252</v>
      </c>
      <c r="H25" s="7">
        <v>2897</v>
      </c>
      <c r="I25" s="7">
        <v>795</v>
      </c>
      <c r="J25" s="7">
        <v>648</v>
      </c>
      <c r="K25" s="7">
        <v>2743</v>
      </c>
      <c r="L25" s="7">
        <v>2905</v>
      </c>
      <c r="M25" s="7">
        <v>6695</v>
      </c>
      <c r="N25" s="7">
        <v>1594</v>
      </c>
      <c r="O25" s="7">
        <v>1233</v>
      </c>
      <c r="P25" s="7">
        <v>4008</v>
      </c>
      <c r="Q25" s="7">
        <v>1960</v>
      </c>
      <c r="R25" s="7">
        <v>2166</v>
      </c>
      <c r="T25" s="7">
        <v>1596</v>
      </c>
      <c r="U25" s="7">
        <v>3215</v>
      </c>
      <c r="V25" s="8"/>
      <c r="W25" s="8"/>
    </row>
    <row r="26" spans="1:23" x14ac:dyDescent="0.25">
      <c r="A26" s="5">
        <v>40909</v>
      </c>
      <c r="B26" s="6">
        <f>SUM(Listings_New[[#This Row],[AZ | Phoenix]:[WA | Seattle]])</f>
        <v>77001</v>
      </c>
      <c r="C26" s="7">
        <v>9643</v>
      </c>
      <c r="D26" s="7">
        <v>8101</v>
      </c>
      <c r="E26" s="7">
        <v>10103</v>
      </c>
      <c r="F26" s="7">
        <v>738</v>
      </c>
      <c r="G26" s="7">
        <v>3478</v>
      </c>
      <c r="H26" s="7">
        <v>4206</v>
      </c>
      <c r="I26" s="7">
        <v>1353</v>
      </c>
      <c r="J26" s="7">
        <v>871</v>
      </c>
      <c r="K26" s="7">
        <v>3971</v>
      </c>
      <c r="L26" s="7">
        <v>4169</v>
      </c>
      <c r="M26" s="7">
        <v>8333</v>
      </c>
      <c r="N26" s="7">
        <v>2701</v>
      </c>
      <c r="O26" s="7">
        <v>1715</v>
      </c>
      <c r="P26" s="7">
        <v>4873</v>
      </c>
      <c r="Q26" s="7">
        <v>3510</v>
      </c>
      <c r="R26" s="7">
        <v>2908</v>
      </c>
      <c r="T26" s="7">
        <v>2306</v>
      </c>
      <c r="U26" s="7">
        <v>4022</v>
      </c>
      <c r="V26" s="8"/>
      <c r="W26" s="8"/>
    </row>
    <row r="27" spans="1:23" x14ac:dyDescent="0.25">
      <c r="A27" s="5">
        <v>40940</v>
      </c>
      <c r="B27" s="6">
        <f>SUM(Listings_New[[#This Row],[AZ | Phoenix]:[WA | Seattle]])</f>
        <v>75081</v>
      </c>
      <c r="C27" s="7">
        <v>8352</v>
      </c>
      <c r="D27" s="7">
        <v>7165</v>
      </c>
      <c r="E27" s="7">
        <v>9653</v>
      </c>
      <c r="F27" s="7">
        <v>531</v>
      </c>
      <c r="G27" s="7">
        <v>3149</v>
      </c>
      <c r="H27" s="7">
        <v>4166</v>
      </c>
      <c r="I27" s="7">
        <v>1373</v>
      </c>
      <c r="J27" s="7">
        <v>827</v>
      </c>
      <c r="K27" s="7">
        <v>4338</v>
      </c>
      <c r="L27" s="7">
        <v>4728</v>
      </c>
      <c r="M27" s="7">
        <v>8618</v>
      </c>
      <c r="N27" s="7">
        <v>3287</v>
      </c>
      <c r="O27" s="7">
        <v>1850</v>
      </c>
      <c r="P27" s="7">
        <v>4267</v>
      </c>
      <c r="Q27" s="7">
        <v>3241</v>
      </c>
      <c r="R27" s="7">
        <v>2656</v>
      </c>
      <c r="T27" s="7">
        <v>2598</v>
      </c>
      <c r="U27" s="7">
        <v>4282</v>
      </c>
      <c r="V27" s="8"/>
      <c r="W27" s="8"/>
    </row>
    <row r="28" spans="1:23" x14ac:dyDescent="0.25">
      <c r="A28" s="5">
        <v>40969</v>
      </c>
      <c r="B28" s="6">
        <f>SUM(Listings_New[[#This Row],[AZ | Phoenix]:[WA | Seattle]])</f>
        <v>86468</v>
      </c>
      <c r="C28" s="7">
        <v>8867</v>
      </c>
      <c r="D28" s="7">
        <v>7022</v>
      </c>
      <c r="E28" s="7">
        <v>9926</v>
      </c>
      <c r="F28" s="7">
        <v>500</v>
      </c>
      <c r="G28" s="7">
        <v>3346</v>
      </c>
      <c r="H28" s="7">
        <v>4518</v>
      </c>
      <c r="I28" s="7">
        <v>1511</v>
      </c>
      <c r="J28" s="7">
        <v>848</v>
      </c>
      <c r="K28" s="7">
        <v>5677</v>
      </c>
      <c r="L28" s="7">
        <v>6532</v>
      </c>
      <c r="M28" s="7">
        <v>10409</v>
      </c>
      <c r="N28" s="7">
        <v>4855</v>
      </c>
      <c r="O28" s="7">
        <v>2677</v>
      </c>
      <c r="P28" s="7">
        <v>4310</v>
      </c>
      <c r="Q28" s="7">
        <v>3982</v>
      </c>
      <c r="R28" s="7">
        <v>3193</v>
      </c>
      <c r="T28" s="7">
        <v>3273</v>
      </c>
      <c r="U28" s="7">
        <v>5022</v>
      </c>
      <c r="V28" s="8"/>
      <c r="W28" s="8"/>
    </row>
    <row r="29" spans="1:23" x14ac:dyDescent="0.25">
      <c r="A29" s="5">
        <v>41000</v>
      </c>
      <c r="B29" s="6">
        <f>SUM(Listings_New[[#This Row],[AZ | Phoenix]:[WA | Seattle]])</f>
        <v>81024</v>
      </c>
      <c r="C29" s="7">
        <v>8352</v>
      </c>
      <c r="D29" s="7">
        <v>6127</v>
      </c>
      <c r="E29" s="7">
        <v>9134</v>
      </c>
      <c r="F29" s="7">
        <v>420</v>
      </c>
      <c r="G29" s="7">
        <v>3079</v>
      </c>
      <c r="H29" s="7">
        <v>4189</v>
      </c>
      <c r="I29" s="7">
        <v>1395</v>
      </c>
      <c r="J29" s="7">
        <v>820</v>
      </c>
      <c r="K29" s="7">
        <v>5424</v>
      </c>
      <c r="L29" s="7">
        <v>6030</v>
      </c>
      <c r="M29" s="7">
        <v>9661</v>
      </c>
      <c r="N29" s="7">
        <v>4605</v>
      </c>
      <c r="O29" s="7">
        <v>2623</v>
      </c>
      <c r="P29" s="7">
        <v>3854</v>
      </c>
      <c r="Q29" s="7">
        <v>3789</v>
      </c>
      <c r="R29" s="7">
        <v>3260</v>
      </c>
      <c r="T29" s="7">
        <v>3127</v>
      </c>
      <c r="U29" s="7">
        <v>5135</v>
      </c>
      <c r="V29" s="8"/>
      <c r="W29" s="8"/>
    </row>
    <row r="30" spans="1:23" x14ac:dyDescent="0.25">
      <c r="A30" s="5">
        <v>41030</v>
      </c>
      <c r="B30" s="6">
        <f>SUM(Listings_New[[#This Row],[AZ | Phoenix]:[WA | Seattle]])</f>
        <v>82803</v>
      </c>
      <c r="C30" s="7">
        <v>8605</v>
      </c>
      <c r="D30" s="7">
        <v>6195</v>
      </c>
      <c r="E30" s="7">
        <v>9709</v>
      </c>
      <c r="F30" s="7">
        <v>397</v>
      </c>
      <c r="G30" s="7">
        <v>3115</v>
      </c>
      <c r="H30" s="7">
        <v>4351</v>
      </c>
      <c r="I30" s="7">
        <v>1614</v>
      </c>
      <c r="J30" s="7">
        <v>815</v>
      </c>
      <c r="K30" s="7">
        <v>5826</v>
      </c>
      <c r="L30" s="7">
        <v>5701</v>
      </c>
      <c r="M30" s="7">
        <v>10132</v>
      </c>
      <c r="N30" s="7">
        <v>4490</v>
      </c>
      <c r="O30" s="7">
        <v>2437</v>
      </c>
      <c r="P30" s="7">
        <v>3672</v>
      </c>
      <c r="Q30" s="7">
        <v>3387</v>
      </c>
      <c r="R30" s="7">
        <v>3502</v>
      </c>
      <c r="T30" s="7">
        <v>3318</v>
      </c>
      <c r="U30" s="7">
        <v>5537</v>
      </c>
      <c r="V30" s="8"/>
      <c r="W30" s="8"/>
    </row>
    <row r="31" spans="1:23" x14ac:dyDescent="0.25">
      <c r="A31" s="5">
        <v>41061</v>
      </c>
      <c r="B31" s="6">
        <f>SUM(Listings_New[[#This Row],[AZ | Phoenix]:[WA | Seattle]])</f>
        <v>84023</v>
      </c>
      <c r="C31" s="7">
        <v>8707</v>
      </c>
      <c r="D31" s="7">
        <v>5954</v>
      </c>
      <c r="E31" s="7">
        <v>9283</v>
      </c>
      <c r="F31" s="7">
        <v>364</v>
      </c>
      <c r="G31" s="7">
        <v>3147</v>
      </c>
      <c r="H31" s="7">
        <v>3938</v>
      </c>
      <c r="I31" s="7">
        <v>1408</v>
      </c>
      <c r="J31" s="7">
        <v>811</v>
      </c>
      <c r="K31" s="7">
        <v>5477</v>
      </c>
      <c r="L31" s="7">
        <v>5156</v>
      </c>
      <c r="M31" s="7">
        <v>10095</v>
      </c>
      <c r="N31" s="7">
        <v>3825</v>
      </c>
      <c r="O31" s="7">
        <v>2291</v>
      </c>
      <c r="P31" s="7">
        <v>3729</v>
      </c>
      <c r="Q31" s="7">
        <v>3142</v>
      </c>
      <c r="R31" s="7">
        <v>3426</v>
      </c>
      <c r="S31" s="7">
        <v>4895</v>
      </c>
      <c r="T31" s="7">
        <v>3266</v>
      </c>
      <c r="U31" s="7">
        <v>5109</v>
      </c>
      <c r="V31" s="8"/>
      <c r="W31" s="8"/>
    </row>
    <row r="32" spans="1:23" x14ac:dyDescent="0.25">
      <c r="A32" s="5">
        <v>41091</v>
      </c>
      <c r="B32" s="6">
        <f>SUM(Listings_New[[#This Row],[AZ | Phoenix]:[WA | Seattle]])</f>
        <v>77940</v>
      </c>
      <c r="C32" s="7">
        <v>8448</v>
      </c>
      <c r="D32" s="7">
        <v>5828</v>
      </c>
      <c r="E32" s="7">
        <v>8975</v>
      </c>
      <c r="F32" s="7">
        <v>362</v>
      </c>
      <c r="G32" s="7">
        <v>2977</v>
      </c>
      <c r="H32" s="7">
        <v>3819</v>
      </c>
      <c r="I32" s="7">
        <v>1327</v>
      </c>
      <c r="J32" s="7">
        <v>747</v>
      </c>
      <c r="K32" s="7">
        <v>4878</v>
      </c>
      <c r="L32" s="7">
        <v>4245</v>
      </c>
      <c r="M32" s="7">
        <v>8856</v>
      </c>
      <c r="N32" s="7">
        <v>3134</v>
      </c>
      <c r="O32" s="7">
        <v>2066</v>
      </c>
      <c r="P32" s="7">
        <v>3834</v>
      </c>
      <c r="Q32" s="7">
        <v>2900</v>
      </c>
      <c r="R32" s="7">
        <v>3396</v>
      </c>
      <c r="S32" s="7">
        <v>4428</v>
      </c>
      <c r="T32" s="7">
        <v>2868</v>
      </c>
      <c r="U32" s="7">
        <v>4852</v>
      </c>
    </row>
    <row r="33" spans="1:21" x14ac:dyDescent="0.25">
      <c r="A33" s="5">
        <v>41122</v>
      </c>
      <c r="B33" s="6">
        <f>SUM(Listings_New[[#This Row],[AZ | Phoenix]:[WA | Seattle]])</f>
        <v>79086</v>
      </c>
      <c r="C33" s="7">
        <v>9615</v>
      </c>
      <c r="D33" s="7">
        <v>6154</v>
      </c>
      <c r="E33" s="7">
        <v>8736</v>
      </c>
      <c r="F33" s="7">
        <v>339</v>
      </c>
      <c r="G33" s="7">
        <v>3060</v>
      </c>
      <c r="H33" s="7">
        <v>3932</v>
      </c>
      <c r="I33" s="7">
        <v>1304</v>
      </c>
      <c r="J33" s="7">
        <v>763</v>
      </c>
      <c r="K33" s="7">
        <v>5000</v>
      </c>
      <c r="L33" s="7">
        <v>4441</v>
      </c>
      <c r="M33" s="7">
        <v>8872</v>
      </c>
      <c r="N33" s="7">
        <v>2978</v>
      </c>
      <c r="O33" s="7">
        <v>1966</v>
      </c>
      <c r="P33" s="7">
        <v>3972</v>
      </c>
      <c r="Q33" s="7">
        <v>2640</v>
      </c>
      <c r="R33" s="7">
        <v>3271</v>
      </c>
      <c r="S33" s="7">
        <v>4450</v>
      </c>
      <c r="T33" s="7">
        <v>2665</v>
      </c>
      <c r="U33" s="7">
        <v>4928</v>
      </c>
    </row>
    <row r="34" spans="1:21" s="11" customFormat="1" x14ac:dyDescent="0.25">
      <c r="A34" s="5">
        <v>41153</v>
      </c>
      <c r="B34" s="6">
        <f>SUM(Listings_New[[#This Row],[AZ | Phoenix]:[WA | Seattle]])</f>
        <v>72896</v>
      </c>
      <c r="C34" s="7">
        <v>8353</v>
      </c>
      <c r="D34" s="7">
        <v>5905</v>
      </c>
      <c r="E34" s="7">
        <v>7906</v>
      </c>
      <c r="F34" s="7">
        <v>399</v>
      </c>
      <c r="G34" s="7">
        <v>2720</v>
      </c>
      <c r="H34" s="7">
        <v>3687</v>
      </c>
      <c r="I34" s="7">
        <v>1182</v>
      </c>
      <c r="J34" s="7">
        <v>651</v>
      </c>
      <c r="K34" s="7">
        <v>4092</v>
      </c>
      <c r="L34" s="7">
        <v>4550</v>
      </c>
      <c r="M34" s="7">
        <v>8046</v>
      </c>
      <c r="N34" s="7">
        <v>3625</v>
      </c>
      <c r="O34" s="7">
        <v>1881</v>
      </c>
      <c r="P34" s="7">
        <v>3541</v>
      </c>
      <c r="Q34" s="7">
        <v>2765</v>
      </c>
      <c r="R34" s="7">
        <v>2693</v>
      </c>
      <c r="S34" s="7">
        <v>4323</v>
      </c>
      <c r="T34" s="7">
        <v>2057</v>
      </c>
      <c r="U34" s="7">
        <v>4520</v>
      </c>
    </row>
    <row r="35" spans="1:21" x14ac:dyDescent="0.25">
      <c r="A35" s="5">
        <v>41183</v>
      </c>
      <c r="B35" s="6">
        <f>SUM(Listings_New[[#This Row],[AZ | Phoenix]:[WA | Seattle]])</f>
        <v>71976</v>
      </c>
      <c r="C35" s="7">
        <v>9136</v>
      </c>
      <c r="D35" s="7">
        <v>6292</v>
      </c>
      <c r="E35" s="7">
        <v>8328</v>
      </c>
      <c r="F35" s="7">
        <v>386</v>
      </c>
      <c r="G35" s="7">
        <v>2818</v>
      </c>
      <c r="H35" s="7">
        <v>3449</v>
      </c>
      <c r="I35" s="7">
        <v>1201</v>
      </c>
      <c r="J35" s="7">
        <v>713</v>
      </c>
      <c r="K35" s="7">
        <v>4045</v>
      </c>
      <c r="L35" s="7">
        <v>4241</v>
      </c>
      <c r="M35" s="7">
        <v>7880</v>
      </c>
      <c r="N35" s="7">
        <v>2890</v>
      </c>
      <c r="O35" s="7">
        <v>1768</v>
      </c>
      <c r="P35" s="7">
        <v>3625</v>
      </c>
      <c r="Q35" s="7">
        <v>2407</v>
      </c>
      <c r="R35" s="7">
        <v>2579</v>
      </c>
      <c r="S35" s="7">
        <v>3952</v>
      </c>
      <c r="T35" s="7">
        <v>2170</v>
      </c>
      <c r="U35" s="7">
        <v>4096</v>
      </c>
    </row>
    <row r="36" spans="1:21" x14ac:dyDescent="0.25">
      <c r="A36" s="5">
        <v>41214</v>
      </c>
      <c r="B36" s="6">
        <f>SUM(Listings_New[[#This Row],[AZ | Phoenix]:[WA | Seattle]])</f>
        <v>56323</v>
      </c>
      <c r="C36" s="7">
        <v>7833</v>
      </c>
      <c r="D36" s="7">
        <v>5304</v>
      </c>
      <c r="E36" s="7">
        <v>6733</v>
      </c>
      <c r="F36" s="7">
        <v>284</v>
      </c>
      <c r="G36" s="7">
        <v>2305</v>
      </c>
      <c r="H36" s="7">
        <v>2404</v>
      </c>
      <c r="I36" s="7">
        <v>854</v>
      </c>
      <c r="J36" s="7">
        <v>538</v>
      </c>
      <c r="K36" s="7">
        <v>2985</v>
      </c>
      <c r="L36" s="7">
        <v>3274</v>
      </c>
      <c r="M36" s="7">
        <v>6007</v>
      </c>
      <c r="N36" s="7">
        <v>1970</v>
      </c>
      <c r="O36" s="7">
        <v>1368</v>
      </c>
      <c r="P36" s="7">
        <v>2949</v>
      </c>
      <c r="Q36" s="7">
        <v>1533</v>
      </c>
      <c r="R36" s="7">
        <v>1870</v>
      </c>
      <c r="S36" s="7">
        <v>3016</v>
      </c>
      <c r="T36" s="7">
        <v>1866</v>
      </c>
      <c r="U36" s="7">
        <v>3230</v>
      </c>
    </row>
    <row r="37" spans="1:21" x14ac:dyDescent="0.25">
      <c r="A37" s="5">
        <v>41244</v>
      </c>
      <c r="B37" s="6">
        <f>SUM(Listings_New[[#This Row],[AZ | Phoenix]:[WA | Seattle]])</f>
        <v>43673</v>
      </c>
      <c r="C37" s="7">
        <v>5912</v>
      </c>
      <c r="D37" s="7">
        <v>4342</v>
      </c>
      <c r="E37" s="7">
        <v>5122</v>
      </c>
      <c r="F37" s="7">
        <v>287</v>
      </c>
      <c r="G37" s="7">
        <v>1719</v>
      </c>
      <c r="H37" s="7">
        <v>1682</v>
      </c>
      <c r="I37" s="7">
        <v>533</v>
      </c>
      <c r="J37" s="7">
        <v>405</v>
      </c>
      <c r="K37" s="7">
        <v>2287</v>
      </c>
      <c r="L37" s="7">
        <v>2463</v>
      </c>
      <c r="M37" s="7">
        <v>5321</v>
      </c>
      <c r="N37" s="7">
        <v>1200</v>
      </c>
      <c r="O37" s="7">
        <v>1003</v>
      </c>
      <c r="P37" s="7">
        <v>2434</v>
      </c>
      <c r="Q37" s="7">
        <v>1382</v>
      </c>
      <c r="R37" s="7">
        <v>1461</v>
      </c>
      <c r="S37" s="7">
        <v>2121</v>
      </c>
      <c r="T37" s="7">
        <v>1363</v>
      </c>
      <c r="U37" s="7">
        <v>2636</v>
      </c>
    </row>
    <row r="38" spans="1:21" x14ac:dyDescent="0.25">
      <c r="A38" s="5">
        <v>41275</v>
      </c>
      <c r="B38" s="6">
        <f>SUM(Listings_New[[#This Row],[AZ | Phoenix]:[WA | Seattle]])</f>
        <v>69143</v>
      </c>
      <c r="C38" s="7">
        <v>8245</v>
      </c>
      <c r="D38" s="7">
        <v>5922</v>
      </c>
      <c r="E38" s="7">
        <v>7854</v>
      </c>
      <c r="F38" s="7">
        <v>238</v>
      </c>
      <c r="G38" s="7">
        <v>2869</v>
      </c>
      <c r="H38" s="7">
        <v>2770</v>
      </c>
      <c r="I38" s="7">
        <v>905</v>
      </c>
      <c r="J38" s="7">
        <v>677</v>
      </c>
      <c r="K38" s="7">
        <v>3573</v>
      </c>
      <c r="L38" s="7">
        <v>3685</v>
      </c>
      <c r="M38" s="7">
        <v>8194</v>
      </c>
      <c r="N38" s="7">
        <v>2500</v>
      </c>
      <c r="O38" s="7">
        <v>1764</v>
      </c>
      <c r="P38" s="7">
        <v>3147</v>
      </c>
      <c r="Q38" s="7">
        <v>3265</v>
      </c>
      <c r="R38" s="7">
        <v>2602</v>
      </c>
      <c r="S38" s="7">
        <v>4486</v>
      </c>
      <c r="T38" s="7">
        <v>2132</v>
      </c>
      <c r="U38" s="7">
        <v>4315</v>
      </c>
    </row>
    <row r="39" spans="1:21" x14ac:dyDescent="0.25">
      <c r="A39" s="5">
        <v>41306</v>
      </c>
      <c r="B39" s="6">
        <f>SUM(Listings_New[[#This Row],[AZ | Phoenix]:[WA | Seattle]])</f>
        <v>69738</v>
      </c>
      <c r="C39" s="7">
        <v>7767</v>
      </c>
      <c r="D39" s="7">
        <v>5084</v>
      </c>
      <c r="E39" s="7">
        <v>7610</v>
      </c>
      <c r="F39" s="7">
        <v>213</v>
      </c>
      <c r="G39" s="7">
        <v>2611</v>
      </c>
      <c r="H39" s="7">
        <v>2988</v>
      </c>
      <c r="I39" s="7">
        <v>1096</v>
      </c>
      <c r="J39" s="7">
        <v>629</v>
      </c>
      <c r="K39" s="7">
        <v>4026</v>
      </c>
      <c r="L39" s="7">
        <v>4392</v>
      </c>
      <c r="M39" s="7">
        <v>8183</v>
      </c>
      <c r="N39" s="7">
        <v>2579</v>
      </c>
      <c r="O39" s="7">
        <v>1908</v>
      </c>
      <c r="P39" s="7">
        <v>3195</v>
      </c>
      <c r="Q39" s="7">
        <v>2806</v>
      </c>
      <c r="R39" s="7">
        <v>2697</v>
      </c>
      <c r="S39" s="7">
        <v>4853</v>
      </c>
      <c r="T39" s="7">
        <v>2601</v>
      </c>
      <c r="U39" s="7">
        <v>4500</v>
      </c>
    </row>
    <row r="40" spans="1:21" x14ac:dyDescent="0.25">
      <c r="A40" s="5">
        <v>41334</v>
      </c>
      <c r="B40" s="6">
        <f>SUM(Listings_New[[#This Row],[AZ | Phoenix]:[WA | Seattle]])</f>
        <v>79066</v>
      </c>
      <c r="C40" s="7">
        <v>8528</v>
      </c>
      <c r="D40" s="7">
        <v>5572</v>
      </c>
      <c r="E40" s="7">
        <v>8191</v>
      </c>
      <c r="F40" s="7">
        <v>194</v>
      </c>
      <c r="G40" s="7">
        <v>3110</v>
      </c>
      <c r="H40" s="7">
        <v>3525</v>
      </c>
      <c r="I40" s="7">
        <v>1292</v>
      </c>
      <c r="J40" s="7">
        <v>700</v>
      </c>
      <c r="K40" s="7">
        <v>4863</v>
      </c>
      <c r="L40" s="7">
        <v>5714</v>
      </c>
      <c r="M40" s="7">
        <v>10316</v>
      </c>
      <c r="N40" s="7">
        <v>3586</v>
      </c>
      <c r="O40" s="7">
        <v>2468</v>
      </c>
      <c r="P40" s="7">
        <v>224</v>
      </c>
      <c r="Q40" s="7">
        <v>3194</v>
      </c>
      <c r="R40" s="7">
        <v>3227</v>
      </c>
      <c r="S40" s="7">
        <v>5952</v>
      </c>
      <c r="T40" s="7">
        <v>3096</v>
      </c>
      <c r="U40" s="7">
        <v>5314</v>
      </c>
    </row>
    <row r="41" spans="1:21" x14ac:dyDescent="0.25">
      <c r="A41" s="5">
        <v>41365</v>
      </c>
      <c r="B41" s="6">
        <f>SUM(Listings_New[[#This Row],[AZ | Phoenix]:[WA | Seattle]])</f>
        <v>95137</v>
      </c>
      <c r="C41" s="7">
        <v>8456</v>
      </c>
      <c r="D41" s="7">
        <v>5783</v>
      </c>
      <c r="E41" s="7">
        <v>9128</v>
      </c>
      <c r="F41" s="7">
        <v>175</v>
      </c>
      <c r="G41" s="7">
        <v>3131</v>
      </c>
      <c r="H41" s="7">
        <v>4197</v>
      </c>
      <c r="I41" s="7">
        <v>1471</v>
      </c>
      <c r="J41" s="7">
        <v>805</v>
      </c>
      <c r="K41" s="7">
        <v>5934</v>
      </c>
      <c r="L41" s="7">
        <v>6866</v>
      </c>
      <c r="M41" s="7">
        <v>11101</v>
      </c>
      <c r="N41" s="7">
        <v>5236</v>
      </c>
      <c r="O41" s="7">
        <v>3018</v>
      </c>
      <c r="P41" s="7">
        <v>3894</v>
      </c>
      <c r="Q41" s="7">
        <v>6017</v>
      </c>
      <c r="R41" s="7">
        <v>3874</v>
      </c>
      <c r="S41" s="7">
        <v>6697</v>
      </c>
      <c r="T41" s="7">
        <v>3392</v>
      </c>
      <c r="U41" s="7">
        <v>5962</v>
      </c>
    </row>
    <row r="42" spans="1:21" x14ac:dyDescent="0.25">
      <c r="A42" s="5">
        <v>41395</v>
      </c>
      <c r="B42" s="6">
        <f>SUM(Listings_New[[#This Row],[AZ | Phoenix]:[WA | Seattle]])</f>
        <v>82880</v>
      </c>
      <c r="C42" s="7">
        <v>7552</v>
      </c>
      <c r="D42" s="7">
        <v>4931</v>
      </c>
      <c r="E42" s="7">
        <v>8052</v>
      </c>
      <c r="F42" s="7">
        <v>125</v>
      </c>
      <c r="G42" s="7">
        <v>2892</v>
      </c>
      <c r="H42" s="7">
        <v>3555</v>
      </c>
      <c r="I42" s="7">
        <v>1359</v>
      </c>
      <c r="J42" s="7">
        <v>634</v>
      </c>
      <c r="K42" s="7">
        <v>5724</v>
      </c>
      <c r="L42" s="7">
        <v>5878</v>
      </c>
      <c r="M42" s="7">
        <v>9263</v>
      </c>
      <c r="N42" s="7">
        <v>4524</v>
      </c>
      <c r="O42" s="7">
        <v>2633</v>
      </c>
      <c r="P42" s="7">
        <v>3369</v>
      </c>
      <c r="Q42" s="7">
        <v>4847</v>
      </c>
      <c r="R42" s="7">
        <v>3508</v>
      </c>
      <c r="S42" s="7">
        <v>5530</v>
      </c>
      <c r="T42" s="7">
        <v>3117</v>
      </c>
      <c r="U42" s="7">
        <v>5387</v>
      </c>
    </row>
    <row r="43" spans="1:21" x14ac:dyDescent="0.25">
      <c r="A43" s="10" t="s">
        <v>21</v>
      </c>
      <c r="B43" s="10">
        <f>B41/B29-1</f>
        <v>0.17418295813586093</v>
      </c>
      <c r="C43" s="16">
        <f t="shared" ref="C43:U43" si="0">C41/C29-1</f>
        <v>1.2452107279693481E-2</v>
      </c>
      <c r="D43" s="16">
        <f t="shared" si="0"/>
        <v>-5.6144932267014891E-2</v>
      </c>
      <c r="E43" s="16">
        <f t="shared" si="0"/>
        <v>-6.5688635865990275E-4</v>
      </c>
      <c r="F43" s="16">
        <f t="shared" si="0"/>
        <v>-0.58333333333333326</v>
      </c>
      <c r="G43" s="16">
        <f t="shared" si="0"/>
        <v>1.6888600194868486E-2</v>
      </c>
      <c r="H43" s="16">
        <f t="shared" si="0"/>
        <v>1.9097636667462226E-3</v>
      </c>
      <c r="I43" s="16">
        <f t="shared" si="0"/>
        <v>5.4480286738351147E-2</v>
      </c>
      <c r="J43" s="16">
        <f t="shared" si="0"/>
        <v>-1.8292682926829285E-2</v>
      </c>
      <c r="K43" s="16">
        <f t="shared" si="0"/>
        <v>9.4026548672566435E-2</v>
      </c>
      <c r="L43" s="16">
        <f t="shared" si="0"/>
        <v>0.13864013266998332</v>
      </c>
      <c r="M43" s="16">
        <f t="shared" si="0"/>
        <v>0.14905289307525105</v>
      </c>
      <c r="N43" s="16">
        <f t="shared" si="0"/>
        <v>0.13702497285559168</v>
      </c>
      <c r="O43" s="16">
        <f t="shared" si="0"/>
        <v>0.15059092642012972</v>
      </c>
      <c r="P43" s="16">
        <f t="shared" si="0"/>
        <v>1.037882719252714E-2</v>
      </c>
      <c r="Q43" s="16">
        <f t="shared" si="0"/>
        <v>0.5880179466877804</v>
      </c>
      <c r="R43" s="16">
        <f t="shared" si="0"/>
        <v>0.18834355828220861</v>
      </c>
      <c r="S43" s="16"/>
      <c r="T43" s="16">
        <f t="shared" si="0"/>
        <v>8.4745762711864403E-2</v>
      </c>
      <c r="U43" s="16">
        <f t="shared" si="0"/>
        <v>0.16105160662122686</v>
      </c>
    </row>
    <row r="44" spans="1:21" x14ac:dyDescent="0.25">
      <c r="A44" s="10" t="s">
        <v>22</v>
      </c>
      <c r="B44" s="10">
        <f>B41/B40-1</f>
        <v>0.20326056712113938</v>
      </c>
      <c r="C44" s="16">
        <f t="shared" ref="C44:U44" si="1">C41/C40-1</f>
        <v>-8.4427767354596783E-3</v>
      </c>
      <c r="D44" s="16">
        <f t="shared" si="1"/>
        <v>3.7867910983488962E-2</v>
      </c>
      <c r="E44" s="16">
        <f t="shared" si="1"/>
        <v>0.11439384690513976</v>
      </c>
      <c r="F44" s="16">
        <f t="shared" si="1"/>
        <v>-9.7938144329896892E-2</v>
      </c>
      <c r="G44" s="16">
        <f t="shared" si="1"/>
        <v>6.7524115755626113E-3</v>
      </c>
      <c r="H44" s="16">
        <f t="shared" si="1"/>
        <v>0.19063829787234043</v>
      </c>
      <c r="I44" s="16">
        <f t="shared" si="1"/>
        <v>0.13854489164086692</v>
      </c>
      <c r="J44" s="16">
        <f t="shared" si="1"/>
        <v>0.14999999999999991</v>
      </c>
      <c r="K44" s="16">
        <f t="shared" si="1"/>
        <v>0.22023442319555819</v>
      </c>
      <c r="L44" s="16">
        <f t="shared" si="1"/>
        <v>0.20161008050402529</v>
      </c>
      <c r="M44" s="16">
        <f t="shared" si="1"/>
        <v>7.6095385808452987E-2</v>
      </c>
      <c r="N44" s="16">
        <f t="shared" si="1"/>
        <v>0.46012269938650308</v>
      </c>
      <c r="O44" s="16">
        <f t="shared" si="1"/>
        <v>0.22285251215559154</v>
      </c>
      <c r="P44" s="16">
        <f t="shared" si="1"/>
        <v>16.383928571428573</v>
      </c>
      <c r="Q44" s="16">
        <f t="shared" si="1"/>
        <v>0.88384470882905442</v>
      </c>
      <c r="R44" s="16">
        <f t="shared" si="1"/>
        <v>0.20049581654787718</v>
      </c>
      <c r="S44" s="16">
        <f t="shared" si="1"/>
        <v>0.12516801075268824</v>
      </c>
      <c r="T44" s="16">
        <f t="shared" si="1"/>
        <v>9.5607235142118885E-2</v>
      </c>
      <c r="U44" s="16">
        <f t="shared" si="1"/>
        <v>0.12194203989461805</v>
      </c>
    </row>
  </sheetData>
  <conditionalFormatting sqref="B43:U44">
    <cfRule type="expression" dxfId="8" priority="1">
      <formula>B43&lt;=-0.0005</formula>
    </cfRule>
    <cfRule type="expression" dxfId="7" priority="2">
      <formula>B43&gt;=0.0005</formula>
    </cfRule>
    <cfRule type="expression" dxfId="6" priority="3">
      <formula>B43&lt;0.0005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Charts</vt:lpstr>
      </vt:variant>
      <vt:variant>
        <vt:i4>7</vt:i4>
      </vt:variant>
    </vt:vector>
  </HeadingPairs>
  <TitlesOfParts>
    <vt:vector size="19" baseType="lpstr">
      <vt:lpstr>Summary</vt:lpstr>
      <vt:lpstr>by-year</vt:lpstr>
      <vt:lpstr>Median $-SqFt</vt:lpstr>
      <vt:lpstr>Median Price</vt:lpstr>
      <vt:lpstr>Listings</vt:lpstr>
      <vt:lpstr>Sales Volume</vt:lpstr>
      <vt:lpstr>Pending Sales</vt:lpstr>
      <vt:lpstr>MOS</vt:lpstr>
      <vt:lpstr>New-Listings</vt:lpstr>
      <vt:lpstr>&lt;2wk%</vt:lpstr>
      <vt:lpstr>&lt;2wk</vt:lpstr>
      <vt:lpstr>Population</vt:lpstr>
      <vt:lpstr>$SqFt-by-year</vt:lpstr>
      <vt:lpstr>Listings-by-year</vt:lpstr>
      <vt:lpstr>Sales-by-Year</vt:lpstr>
      <vt:lpstr>Price-Listings-Chart</vt:lpstr>
      <vt:lpstr>Price-Chart</vt:lpstr>
      <vt:lpstr>Listings-Chart</vt:lpstr>
      <vt:lpstr>&lt;2wk-Chart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Redfin</dc:creator>
  <cp:keywords>real estate</cp:keywords>
  <dcterms:created xsi:type="dcterms:W3CDTF">2012-06-11T05:33:22Z</dcterms:created>
  <dcterms:modified xsi:type="dcterms:W3CDTF">2013-06-13T16:46:41Z</dcterms:modified>
</cp:coreProperties>
</file>